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C:\Users\Mauricio\Dropbox\Projeto Mestrado\NodeXL\6- Co-Hashtags\"/>
    </mc:Choice>
  </mc:AlternateContent>
  <xr:revisionPtr revIDLastSave="0" documentId="8_{E2DCE043-E404-41FD-B8CF-0BB3257D904C}" xr6:coauthVersionLast="47" xr6:coauthVersionMax="47" xr10:uidLastSave="{00000000-0000-0000-0000-000000000000}"/>
  <bookViews>
    <workbookView xWindow="-120" yWindow="-120" windowWidth="24240" windowHeight="13020"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3" i="3" l="1"/>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113" i="3"/>
  <c r="BO114" i="3"/>
  <c r="BO115" i="3"/>
  <c r="BO116" i="3"/>
  <c r="BO117" i="3"/>
  <c r="BO118" i="3"/>
  <c r="BO119" i="3"/>
  <c r="BO120" i="3"/>
  <c r="BO121" i="3"/>
  <c r="BO122" i="3"/>
  <c r="BO123" i="3"/>
  <c r="BO124" i="3"/>
  <c r="BO125" i="3"/>
  <c r="BO126" i="3"/>
  <c r="BO127" i="3"/>
  <c r="BO128" i="3"/>
  <c r="BO129" i="3"/>
  <c r="BO130" i="3"/>
  <c r="BO131" i="3"/>
  <c r="BO132" i="3"/>
  <c r="BO133" i="3"/>
  <c r="BO134" i="3"/>
  <c r="BO135" i="3"/>
  <c r="BO136" i="3"/>
  <c r="BO137" i="3"/>
  <c r="BO138" i="3"/>
  <c r="BO139" i="3"/>
  <c r="BO140" i="3"/>
  <c r="BO141" i="3"/>
  <c r="BO142" i="3"/>
  <c r="BO143" i="3"/>
  <c r="BO144" i="3"/>
  <c r="BO145" i="3"/>
  <c r="BO146" i="3"/>
  <c r="BO147" i="3"/>
  <c r="BO148" i="3"/>
  <c r="BO149" i="3"/>
  <c r="BO150" i="3"/>
  <c r="BO151" i="3"/>
  <c r="BO152" i="3"/>
  <c r="BO153" i="3"/>
  <c r="BO154" i="3"/>
  <c r="BO155" i="3"/>
  <c r="BO156" i="3"/>
  <c r="BO157" i="3"/>
  <c r="BO158" i="3"/>
  <c r="BO159" i="3"/>
  <c r="BO160" i="3"/>
  <c r="BO161" i="3"/>
  <c r="BO162" i="3"/>
  <c r="BO163" i="3"/>
  <c r="BO164" i="3"/>
  <c r="BO165" i="3"/>
  <c r="BO166" i="3"/>
  <c r="BO167" i="3"/>
  <c r="BO168" i="3"/>
  <c r="BO169" i="3"/>
  <c r="BO170" i="3"/>
  <c r="BO171" i="3"/>
  <c r="BO172" i="3"/>
  <c r="BO173" i="3"/>
  <c r="BO174" i="3"/>
  <c r="BO175" i="3"/>
  <c r="BO176" i="3"/>
  <c r="BO177" i="3"/>
  <c r="BO178" i="3"/>
  <c r="BO179" i="3"/>
  <c r="BO180" i="3"/>
  <c r="BO181" i="3"/>
  <c r="BO182" i="3"/>
  <c r="BO183" i="3"/>
  <c r="BO184" i="3"/>
  <c r="BO185" i="3"/>
  <c r="BO186" i="3"/>
  <c r="BO187" i="3"/>
  <c r="BO188" i="3"/>
  <c r="BO189" i="3"/>
  <c r="BO190" i="3"/>
  <c r="BO191" i="3"/>
  <c r="BO192" i="3"/>
  <c r="BO193" i="3"/>
  <c r="BO194" i="3"/>
  <c r="BO195" i="3"/>
  <c r="BO196" i="3"/>
  <c r="BO197" i="3"/>
  <c r="BO198" i="3"/>
  <c r="BO199" i="3"/>
  <c r="BO200" i="3"/>
  <c r="BO201" i="3"/>
  <c r="BO202" i="3"/>
  <c r="BO203" i="3"/>
  <c r="BO204" i="3"/>
  <c r="BO205" i="3"/>
  <c r="BO206" i="3"/>
  <c r="BO207" i="3"/>
  <c r="BO208" i="3"/>
  <c r="BO209" i="3"/>
  <c r="BO210" i="3"/>
  <c r="BO211" i="3"/>
  <c r="BO212" i="3"/>
  <c r="BO213" i="3"/>
  <c r="BO214" i="3"/>
  <c r="BO215" i="3"/>
  <c r="BO216" i="3"/>
  <c r="BO217" i="3"/>
  <c r="BO218" i="3"/>
  <c r="BO219" i="3"/>
  <c r="BO220" i="3"/>
  <c r="BO221" i="3"/>
  <c r="BO222" i="3"/>
  <c r="BO223" i="3"/>
  <c r="BO224" i="3"/>
  <c r="BO225" i="3"/>
  <c r="BO226" i="3"/>
  <c r="BO227" i="3"/>
  <c r="BO228" i="3"/>
  <c r="BO229" i="3"/>
  <c r="BO230" i="3"/>
  <c r="BO231" i="3"/>
  <c r="BO232" i="3"/>
  <c r="BO233" i="3"/>
  <c r="BO234" i="3"/>
  <c r="BO235" i="3"/>
  <c r="BO236" i="3"/>
  <c r="BO237" i="3"/>
  <c r="BO238" i="3"/>
  <c r="BO239" i="3"/>
  <c r="BO240" i="3"/>
  <c r="BO241" i="3"/>
  <c r="BO242" i="3"/>
  <c r="BO243" i="3"/>
  <c r="BO244" i="3"/>
  <c r="BO245" i="3"/>
  <c r="BO246" i="3"/>
  <c r="BO247" i="3"/>
  <c r="BO248" i="3"/>
  <c r="BO249" i="3"/>
  <c r="BO250" i="3"/>
  <c r="BO251" i="3"/>
  <c r="BO252" i="3"/>
  <c r="BO253" i="3"/>
  <c r="BO254" i="3"/>
  <c r="BO255" i="3"/>
  <c r="BO256" i="3"/>
  <c r="BO257" i="3"/>
  <c r="BO258" i="3"/>
  <c r="BO259" i="3"/>
  <c r="BO260" i="3"/>
  <c r="BO261" i="3"/>
  <c r="BO262" i="3"/>
  <c r="BO263" i="3"/>
  <c r="BO264" i="3"/>
  <c r="BO265" i="3"/>
  <c r="BO266" i="3"/>
  <c r="BO267" i="3"/>
  <c r="BO268" i="3"/>
  <c r="BO269" i="3"/>
  <c r="BO270" i="3"/>
  <c r="BO271" i="3"/>
  <c r="BO272" i="3"/>
  <c r="BO273" i="3"/>
  <c r="BO274" i="3"/>
  <c r="BO275" i="3"/>
  <c r="BO276" i="3"/>
  <c r="BO277" i="3"/>
  <c r="BO278" i="3"/>
  <c r="BO279" i="3"/>
  <c r="BO280" i="3"/>
  <c r="BO281" i="3"/>
  <c r="BO282" i="3"/>
  <c r="BO283" i="3"/>
  <c r="BO284" i="3"/>
  <c r="BO285" i="3"/>
  <c r="BO286" i="3"/>
  <c r="BO287" i="3"/>
  <c r="BO288" i="3"/>
  <c r="BO289" i="3"/>
  <c r="BO290" i="3"/>
  <c r="BO291" i="3"/>
  <c r="BO292" i="3"/>
  <c r="BO293" i="3"/>
  <c r="BO294" i="3"/>
  <c r="BO295" i="3"/>
  <c r="BO296" i="3"/>
  <c r="BO297" i="3"/>
  <c r="BO298" i="3"/>
  <c r="BO299" i="3"/>
  <c r="BO300" i="3"/>
  <c r="BO301" i="3"/>
  <c r="BO302" i="3"/>
  <c r="BO303" i="3"/>
  <c r="BO304" i="3"/>
  <c r="BO305" i="3"/>
  <c r="BO306" i="3"/>
  <c r="BO307" i="3"/>
  <c r="BO308" i="3"/>
  <c r="BO309" i="3"/>
  <c r="BO310" i="3"/>
  <c r="BO311" i="3"/>
  <c r="BO312" i="3"/>
  <c r="BO313" i="3"/>
  <c r="BO314" i="3"/>
  <c r="BO315" i="3"/>
  <c r="BO316" i="3"/>
  <c r="BO317" i="3"/>
  <c r="BO318" i="3"/>
  <c r="BO319" i="3"/>
  <c r="BO320" i="3"/>
  <c r="BO321" i="3"/>
  <c r="BO322" i="3"/>
  <c r="BO323" i="3"/>
  <c r="BO324" i="3"/>
  <c r="BO325" i="3"/>
  <c r="BO326" i="3"/>
  <c r="BO327" i="3"/>
  <c r="BO328" i="3"/>
  <c r="BO329" i="3"/>
  <c r="BO330" i="3"/>
  <c r="BO331" i="3"/>
  <c r="BO332" i="3"/>
  <c r="BO333" i="3"/>
  <c r="BO334" i="3"/>
  <c r="BO335" i="3"/>
  <c r="BO336" i="3"/>
  <c r="BO337" i="3"/>
  <c r="BO338" i="3"/>
  <c r="BO339" i="3"/>
  <c r="BO340" i="3"/>
  <c r="BO341" i="3"/>
  <c r="BO342" i="3"/>
  <c r="BO343" i="3"/>
  <c r="BO344" i="3"/>
  <c r="BO345" i="3"/>
  <c r="BO346" i="3"/>
  <c r="BO347" i="3"/>
  <c r="BO348" i="3"/>
  <c r="BO349" i="3"/>
  <c r="BO350" i="3"/>
  <c r="BO351" i="3"/>
  <c r="BO352" i="3"/>
  <c r="BO353" i="3"/>
  <c r="BO354" i="3"/>
  <c r="BO355" i="3"/>
  <c r="BO356" i="3"/>
  <c r="BO357" i="3"/>
  <c r="BO358" i="3"/>
  <c r="BO359" i="3"/>
  <c r="BO360" i="3"/>
  <c r="BO361" i="3"/>
  <c r="BO36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BH7" i="3"/>
  <c r="BH9" i="3"/>
  <c r="BH11" i="3"/>
  <c r="BH12" i="3"/>
  <c r="BH13" i="3"/>
  <c r="BH14" i="3"/>
  <c r="BH17" i="3"/>
  <c r="BH18" i="3"/>
  <c r="BH19" i="3"/>
  <c r="BH20" i="3"/>
  <c r="BH21" i="3"/>
  <c r="BH22" i="3"/>
  <c r="BH23" i="3"/>
  <c r="BH25" i="3"/>
  <c r="BH26" i="3"/>
  <c r="BH27" i="3"/>
  <c r="BH28" i="3"/>
  <c r="BH30" i="3"/>
  <c r="BH32" i="3"/>
  <c r="BH33" i="3"/>
  <c r="BH34" i="3"/>
  <c r="BH35" i="3"/>
  <c r="BH37" i="3"/>
  <c r="BH38" i="3"/>
  <c r="BH39" i="3"/>
  <c r="BH40" i="3"/>
  <c r="BH41" i="3"/>
  <c r="BH42" i="3"/>
  <c r="BH43" i="3"/>
  <c r="BH44" i="3"/>
  <c r="BH45" i="3"/>
  <c r="BH46" i="3"/>
  <c r="BH47" i="3"/>
  <c r="BH48" i="3"/>
  <c r="BH49" i="3"/>
  <c r="BH50" i="3"/>
  <c r="BH52" i="3"/>
  <c r="BH53" i="3"/>
  <c r="BH54" i="3"/>
  <c r="BH56" i="3"/>
  <c r="BH57" i="3"/>
  <c r="BH58" i="3"/>
  <c r="BH59" i="3"/>
  <c r="BH60" i="3"/>
  <c r="BH61" i="3"/>
  <c r="BH63" i="3"/>
  <c r="BH64" i="3"/>
  <c r="BH65" i="3"/>
  <c r="BH67" i="3"/>
  <c r="BH68" i="3"/>
  <c r="BH69" i="3"/>
  <c r="BH70" i="3"/>
  <c r="BH71" i="3"/>
  <c r="BH72" i="3"/>
  <c r="BH73" i="3"/>
  <c r="BH74" i="3"/>
  <c r="BH75" i="3"/>
  <c r="BH76" i="3"/>
  <c r="BH77" i="3"/>
  <c r="BH78" i="3"/>
  <c r="BH81" i="3"/>
  <c r="BH83" i="3"/>
  <c r="BH84" i="3"/>
  <c r="BH86" i="3"/>
  <c r="BH87" i="3"/>
  <c r="BH88" i="3"/>
  <c r="BH89" i="3"/>
  <c r="BH90" i="3"/>
  <c r="BH91" i="3"/>
  <c r="BH92" i="3"/>
  <c r="BH93" i="3"/>
  <c r="BH96" i="3"/>
  <c r="BH97" i="3"/>
  <c r="BH98" i="3"/>
  <c r="BH99" i="3"/>
  <c r="BH100" i="3"/>
  <c r="BH101" i="3"/>
  <c r="BH102" i="3"/>
  <c r="BH103" i="3"/>
  <c r="BH105" i="3"/>
  <c r="BH106" i="3"/>
  <c r="BH108" i="3"/>
  <c r="BH109" i="3"/>
  <c r="BH110" i="3"/>
  <c r="BH111" i="3"/>
  <c r="BH112" i="3"/>
  <c r="BH113" i="3"/>
  <c r="BH114" i="3"/>
  <c r="BH116" i="3"/>
  <c r="BH117" i="3"/>
  <c r="BH118" i="3"/>
  <c r="BH119" i="3"/>
  <c r="BH120" i="3"/>
  <c r="BH121" i="3"/>
  <c r="BH123" i="3"/>
  <c r="BH124" i="3"/>
  <c r="BH125" i="3"/>
  <c r="BH126" i="3"/>
  <c r="BH127" i="3"/>
  <c r="BH128" i="3"/>
  <c r="BH129" i="3"/>
  <c r="BH130" i="3"/>
  <c r="BH131" i="3"/>
  <c r="BH132" i="3"/>
  <c r="BH133" i="3"/>
  <c r="BH134" i="3"/>
  <c r="BH135" i="3"/>
  <c r="BH136" i="3"/>
  <c r="BH137" i="3"/>
  <c r="BH138" i="3"/>
  <c r="BH139" i="3"/>
  <c r="BH140" i="3"/>
  <c r="BH142" i="3"/>
  <c r="BH146" i="3"/>
  <c r="BH147" i="3"/>
  <c r="BH148" i="3"/>
  <c r="BH149" i="3"/>
  <c r="BH150" i="3"/>
  <c r="BH151" i="3"/>
  <c r="BH152" i="3"/>
  <c r="BH153" i="3"/>
  <c r="BH155" i="3"/>
  <c r="BH156" i="3"/>
  <c r="BH157" i="3"/>
  <c r="BH159" i="3"/>
  <c r="BH160" i="3"/>
  <c r="BH161" i="3"/>
  <c r="BH162" i="3"/>
  <c r="BH164" i="3"/>
  <c r="BH165" i="3"/>
  <c r="BH166" i="3"/>
  <c r="BH167" i="3"/>
  <c r="BH168" i="3"/>
  <c r="BH169" i="3"/>
  <c r="BH171" i="3"/>
  <c r="BH172" i="3"/>
  <c r="BH174" i="3"/>
  <c r="BH175" i="3"/>
  <c r="BH176" i="3"/>
  <c r="BH177" i="3"/>
  <c r="BH178" i="3"/>
  <c r="BH179" i="3"/>
  <c r="BH180" i="3"/>
  <c r="BH181" i="3"/>
  <c r="BH182" i="3"/>
  <c r="BH183" i="3"/>
  <c r="BH184" i="3"/>
  <c r="BH185" i="3"/>
  <c r="BH186" i="3"/>
  <c r="BH187" i="3"/>
  <c r="BH188" i="3"/>
  <c r="BH189" i="3"/>
  <c r="BH190" i="3"/>
  <c r="BH191" i="3"/>
  <c r="BH192" i="3"/>
  <c r="BH193" i="3"/>
  <c r="BH194" i="3"/>
  <c r="BH195" i="3"/>
  <c r="BH196" i="3"/>
  <c r="BH197" i="3"/>
  <c r="BH198" i="3"/>
  <c r="BH199" i="3"/>
  <c r="BH200" i="3"/>
  <c r="BH201" i="3"/>
  <c r="BH204" i="3"/>
  <c r="BH206" i="3"/>
  <c r="BH207" i="3"/>
  <c r="BH208" i="3"/>
  <c r="BH209" i="3"/>
  <c r="BH210" i="3"/>
  <c r="BH211" i="3"/>
  <c r="BH212" i="3"/>
  <c r="BH213" i="3"/>
  <c r="BH214" i="3"/>
  <c r="BH215" i="3"/>
  <c r="BH216" i="3"/>
  <c r="BH219" i="3"/>
  <c r="BH220" i="3"/>
  <c r="BH221" i="3"/>
  <c r="BH222" i="3"/>
  <c r="BH223" i="3"/>
  <c r="BH224" i="3"/>
  <c r="BH225" i="3"/>
  <c r="BH226" i="3"/>
  <c r="BH228" i="3"/>
  <c r="BH229" i="3"/>
  <c r="BH230" i="3"/>
  <c r="BH231" i="3"/>
  <c r="BH232" i="3"/>
  <c r="BH233" i="3"/>
  <c r="BH234" i="3"/>
  <c r="BH236" i="3"/>
  <c r="BH237" i="3"/>
  <c r="BH240" i="3"/>
  <c r="BH242" i="3"/>
  <c r="BH243" i="3"/>
  <c r="BH244" i="3"/>
  <c r="BH245" i="3"/>
  <c r="BH246" i="3"/>
  <c r="BH247" i="3"/>
  <c r="BH248" i="3"/>
  <c r="BH249" i="3"/>
  <c r="BH250" i="3"/>
  <c r="BH251" i="3"/>
  <c r="BH252" i="3"/>
  <c r="BH253" i="3"/>
  <c r="BH255" i="3"/>
  <c r="BH257" i="3"/>
  <c r="BH258" i="3"/>
  <c r="BH259" i="3"/>
  <c r="BH260" i="3"/>
  <c r="BH261" i="3"/>
  <c r="BH262" i="3"/>
  <c r="BH264" i="3"/>
  <c r="BH267" i="3"/>
  <c r="BH268" i="3"/>
  <c r="BH269" i="3"/>
  <c r="BH270" i="3"/>
  <c r="BH272" i="3"/>
  <c r="BH273" i="3"/>
  <c r="BH274" i="3"/>
  <c r="BH275" i="3"/>
  <c r="BH277" i="3"/>
  <c r="BH278" i="3"/>
  <c r="BH279" i="3"/>
  <c r="BH280" i="3"/>
  <c r="BH281" i="3"/>
  <c r="BH282" i="3"/>
  <c r="BH283" i="3"/>
  <c r="BH284" i="3"/>
  <c r="BH285" i="3"/>
  <c r="BH286" i="3"/>
  <c r="BH289" i="3"/>
  <c r="BH290" i="3"/>
  <c r="BH292" i="3"/>
  <c r="BH293" i="3"/>
  <c r="BH294" i="3"/>
  <c r="BH295" i="3"/>
  <c r="BH297" i="3"/>
  <c r="BH298" i="3"/>
  <c r="BH299" i="3"/>
  <c r="BH300" i="3"/>
  <c r="BH301" i="3"/>
  <c r="BH302" i="3"/>
  <c r="BH303" i="3"/>
  <c r="BH304" i="3"/>
  <c r="BH305" i="3"/>
  <c r="BH306" i="3"/>
  <c r="BH307" i="3"/>
  <c r="BH309" i="3"/>
  <c r="BH310" i="3"/>
  <c r="BH311" i="3"/>
  <c r="BH312" i="3"/>
  <c r="BH313" i="3"/>
  <c r="BH314" i="3"/>
  <c r="BH315" i="3"/>
  <c r="BH316" i="3"/>
  <c r="BH317" i="3"/>
  <c r="BH318" i="3"/>
  <c r="BH319" i="3"/>
  <c r="BH320" i="3"/>
  <c r="BH321" i="3"/>
  <c r="BH322" i="3"/>
  <c r="BH324" i="3"/>
  <c r="BH325" i="3"/>
  <c r="BH326" i="3"/>
  <c r="BH327" i="3"/>
  <c r="BH328" i="3"/>
  <c r="BH330" i="3"/>
  <c r="BH331" i="3"/>
  <c r="BH334" i="3"/>
  <c r="BH336" i="3"/>
  <c r="BH337" i="3"/>
  <c r="BH338" i="3"/>
  <c r="BH339" i="3"/>
  <c r="BH340" i="3"/>
  <c r="BH343" i="3"/>
  <c r="BH344" i="3"/>
  <c r="BH345" i="3"/>
  <c r="BH346" i="3"/>
  <c r="BH348" i="3"/>
  <c r="BH349" i="3"/>
  <c r="BH350" i="3"/>
  <c r="BH351" i="3"/>
  <c r="BH352" i="3"/>
  <c r="BH353" i="3"/>
  <c r="BH354" i="3"/>
  <c r="BH355" i="3"/>
  <c r="BH356" i="3"/>
  <c r="BH357" i="3"/>
  <c r="BH358" i="3"/>
  <c r="BH362" i="3"/>
  <c r="AW7" i="3"/>
  <c r="AW8" i="3"/>
  <c r="AW10" i="3"/>
  <c r="AW11" i="3"/>
  <c r="AW13" i="3"/>
  <c r="AW17" i="3"/>
  <c r="AW18" i="3"/>
  <c r="AW19" i="3"/>
  <c r="AW20" i="3"/>
  <c r="AW21" i="3"/>
  <c r="AW22" i="3"/>
  <c r="AW23" i="3"/>
  <c r="AW25" i="3"/>
  <c r="AW26" i="3"/>
  <c r="AW28" i="3"/>
  <c r="AW30" i="3"/>
  <c r="AW31" i="3"/>
  <c r="AW32" i="3"/>
  <c r="AW33" i="3"/>
  <c r="AW34" i="3"/>
  <c r="AW35" i="3"/>
  <c r="AW36" i="3"/>
  <c r="AW38" i="3"/>
  <c r="AW41" i="3"/>
  <c r="AW42" i="3"/>
  <c r="AW43" i="3"/>
  <c r="AW45" i="3"/>
  <c r="AW47" i="3"/>
  <c r="AW48" i="3"/>
  <c r="AW49" i="3"/>
  <c r="AW53" i="3"/>
  <c r="AW54" i="3"/>
  <c r="AW55" i="3"/>
  <c r="AW56" i="3"/>
  <c r="AW57" i="3"/>
  <c r="AW58" i="3"/>
  <c r="AW60" i="3"/>
  <c r="AW63" i="3"/>
  <c r="AW64" i="3"/>
  <c r="AW65" i="3"/>
  <c r="AW66" i="3"/>
  <c r="AW68" i="3"/>
  <c r="AW69" i="3"/>
  <c r="AW71" i="3"/>
  <c r="AW72" i="3"/>
  <c r="AW73" i="3"/>
  <c r="AW74" i="3"/>
  <c r="AW76" i="3"/>
  <c r="AW77" i="3"/>
  <c r="AW78" i="3"/>
  <c r="AW81" i="3"/>
  <c r="AW84" i="3"/>
  <c r="AW86" i="3"/>
  <c r="AW87" i="3"/>
  <c r="AW88" i="3"/>
  <c r="AW91" i="3"/>
  <c r="AW92" i="3"/>
  <c r="AW93" i="3"/>
  <c r="AW100" i="3"/>
  <c r="AW101" i="3"/>
  <c r="AW103" i="3"/>
  <c r="AW105" i="3"/>
  <c r="AW106" i="3"/>
  <c r="AW109" i="3"/>
  <c r="AW112" i="3"/>
  <c r="AW113" i="3"/>
  <c r="AW115" i="3"/>
  <c r="AW116" i="3"/>
  <c r="AW117" i="3"/>
  <c r="AW118" i="3"/>
  <c r="AW119" i="3"/>
  <c r="AW122" i="3"/>
  <c r="AW123" i="3"/>
  <c r="AW124" i="3"/>
  <c r="AW125" i="3"/>
  <c r="AW128" i="3"/>
  <c r="AW129" i="3"/>
  <c r="AW130" i="3"/>
  <c r="AW131" i="3"/>
  <c r="AW138" i="3"/>
  <c r="AW140" i="3"/>
  <c r="AW142" i="3"/>
  <c r="AW143" i="3"/>
  <c r="AW145" i="3"/>
  <c r="AW147" i="3"/>
  <c r="AW149" i="3"/>
  <c r="AW150" i="3"/>
  <c r="AW151" i="3"/>
  <c r="AW152" i="3"/>
  <c r="AW160" i="3"/>
  <c r="AW162" i="3"/>
  <c r="AW163" i="3"/>
  <c r="AW164" i="3"/>
  <c r="AW165" i="3"/>
  <c r="AW168" i="3"/>
  <c r="AW169" i="3"/>
  <c r="AW171" i="3"/>
  <c r="AW172" i="3"/>
  <c r="AW174" i="3"/>
  <c r="AW176" i="3"/>
  <c r="AW177" i="3"/>
  <c r="AW178" i="3"/>
  <c r="AW179" i="3"/>
  <c r="AW180" i="3"/>
  <c r="AW184" i="3"/>
  <c r="AW185" i="3"/>
  <c r="AW186" i="3"/>
  <c r="AW187" i="3"/>
  <c r="AW189" i="3"/>
  <c r="AW194" i="3"/>
  <c r="AW195" i="3"/>
  <c r="AW199" i="3"/>
  <c r="AW200" i="3"/>
  <c r="AW201" i="3"/>
  <c r="AW203" i="3"/>
  <c r="AW204" i="3"/>
  <c r="AW207" i="3"/>
  <c r="AW210" i="3"/>
  <c r="AW211" i="3"/>
  <c r="AW213" i="3"/>
  <c r="AW214" i="3"/>
  <c r="AW215" i="3"/>
  <c r="AW216" i="3"/>
  <c r="AW219" i="3"/>
  <c r="AW220" i="3"/>
  <c r="AW221" i="3"/>
  <c r="AW223" i="3"/>
  <c r="AW225" i="3"/>
  <c r="AW226" i="3"/>
  <c r="AW228" i="3"/>
  <c r="AW229" i="3"/>
  <c r="AW230" i="3"/>
  <c r="AW233" i="3"/>
  <c r="AW234" i="3"/>
  <c r="AW236" i="3"/>
  <c r="AW237" i="3"/>
  <c r="AW240" i="3"/>
  <c r="AW241" i="3"/>
  <c r="AW244" i="3"/>
  <c r="AW246" i="3"/>
  <c r="AW247" i="3"/>
  <c r="AW249" i="3"/>
  <c r="AW250" i="3"/>
  <c r="AW251" i="3"/>
  <c r="AW252" i="3"/>
  <c r="AW255" i="3"/>
  <c r="AW261" i="3"/>
  <c r="AW262" i="3"/>
  <c r="AW267" i="3"/>
  <c r="AW269" i="3"/>
  <c r="AW270" i="3"/>
  <c r="AW272" i="3"/>
  <c r="AW275" i="3"/>
  <c r="AW276" i="3"/>
  <c r="AW277" i="3"/>
  <c r="AW278" i="3"/>
  <c r="AW279" i="3"/>
  <c r="AW280" i="3"/>
  <c r="AW281" i="3"/>
  <c r="AW282" i="3"/>
  <c r="AW283" i="3"/>
  <c r="AW284" i="3"/>
  <c r="AW285" i="3"/>
  <c r="AW287" i="3"/>
  <c r="AW291" i="3"/>
  <c r="AW293" i="3"/>
  <c r="AW295" i="3"/>
  <c r="AW296" i="3"/>
  <c r="AW297" i="3"/>
  <c r="AW298" i="3"/>
  <c r="AW299" i="3"/>
  <c r="AW300" i="3"/>
  <c r="AW301" i="3"/>
  <c r="AW303" i="3"/>
  <c r="AW304" i="3"/>
  <c r="AW305" i="3"/>
  <c r="AW306" i="3"/>
  <c r="AW307" i="3"/>
  <c r="AW308" i="3"/>
  <c r="AW309" i="3"/>
  <c r="AW311" i="3"/>
  <c r="AW312" i="3"/>
  <c r="AW313" i="3"/>
  <c r="AW314" i="3"/>
  <c r="AW315" i="3"/>
  <c r="AW318" i="3"/>
  <c r="AW319" i="3"/>
  <c r="AW320" i="3"/>
  <c r="AW321" i="3"/>
  <c r="AW322" i="3"/>
  <c r="AW324" i="3"/>
  <c r="AW325" i="3"/>
  <c r="AW327" i="3"/>
  <c r="AW328" i="3"/>
  <c r="AW329" i="3"/>
  <c r="AW330" i="3"/>
  <c r="AW331" i="3"/>
  <c r="AW333" i="3"/>
  <c r="AW334" i="3"/>
  <c r="AW336" i="3"/>
  <c r="AW338" i="3"/>
  <c r="AW340" i="3"/>
  <c r="AW341" i="3"/>
  <c r="AW344" i="3"/>
  <c r="AW345" i="3"/>
  <c r="AW346" i="3"/>
  <c r="AW348" i="3"/>
  <c r="AW349" i="3"/>
  <c r="AW351" i="3"/>
  <c r="AW352" i="3"/>
  <c r="AW354" i="3"/>
  <c r="AW355" i="3"/>
  <c r="AW357" i="3"/>
  <c r="AW358" i="3"/>
  <c r="AT23" i="3"/>
  <c r="AT35" i="3"/>
  <c r="AT46" i="3"/>
  <c r="AT52" i="3"/>
  <c r="AT59" i="3"/>
  <c r="AT63" i="3"/>
  <c r="AT66" i="3"/>
  <c r="AT83" i="3"/>
  <c r="AT90" i="3"/>
  <c r="AT119" i="3"/>
  <c r="AT131" i="3"/>
  <c r="AT146" i="3"/>
  <c r="AT151" i="3"/>
  <c r="AT181" i="3"/>
  <c r="AT191" i="3"/>
  <c r="AT196" i="3"/>
  <c r="AT207" i="3"/>
  <c r="AT216" i="3"/>
  <c r="AT244" i="3"/>
  <c r="AT251" i="3"/>
  <c r="AT277" i="3"/>
  <c r="AT293" i="3"/>
  <c r="AT307" i="3"/>
  <c r="AT324" i="3"/>
  <c r="AT331" i="3"/>
  <c r="AT333" i="3"/>
  <c r="AT337" i="3"/>
  <c r="AS23" i="3"/>
  <c r="AS35" i="3"/>
  <c r="AS46" i="3"/>
  <c r="AS52" i="3"/>
  <c r="AS59" i="3"/>
  <c r="AS63" i="3"/>
  <c r="AS66" i="3"/>
  <c r="AS83" i="3"/>
  <c r="AS90" i="3"/>
  <c r="AS119" i="3"/>
  <c r="AS131" i="3"/>
  <c r="AS146" i="3"/>
  <c r="AS151" i="3"/>
  <c r="AS181" i="3"/>
  <c r="AS191" i="3"/>
  <c r="AS196" i="3"/>
  <c r="AS207" i="3"/>
  <c r="AS216" i="3"/>
  <c r="AS244" i="3"/>
  <c r="AS251" i="3"/>
  <c r="AS277" i="3"/>
  <c r="AS293" i="3"/>
  <c r="AS307" i="3"/>
  <c r="AS324" i="3"/>
  <c r="AS331" i="3"/>
  <c r="AS333" i="3"/>
  <c r="AS337" i="3"/>
  <c r="AQ7" i="3"/>
  <c r="AQ8" i="3"/>
  <c r="AQ10" i="3"/>
  <c r="AQ11" i="3"/>
  <c r="AQ13" i="3"/>
  <c r="AQ17" i="3"/>
  <c r="AQ18" i="3"/>
  <c r="AQ19" i="3"/>
  <c r="AQ20" i="3"/>
  <c r="AQ21" i="3"/>
  <c r="AQ22" i="3"/>
  <c r="AQ23" i="3"/>
  <c r="AQ25" i="3"/>
  <c r="AQ26" i="3"/>
  <c r="AQ28" i="3"/>
  <c r="AQ30" i="3"/>
  <c r="AQ31" i="3"/>
  <c r="AQ32" i="3"/>
  <c r="AQ33" i="3"/>
  <c r="AQ34" i="3"/>
  <c r="AQ35" i="3"/>
  <c r="AQ36" i="3"/>
  <c r="AQ38" i="3"/>
  <c r="AQ41" i="3"/>
  <c r="AQ42" i="3"/>
  <c r="AQ43" i="3"/>
  <c r="AQ45" i="3"/>
  <c r="AQ47" i="3"/>
  <c r="AQ48" i="3"/>
  <c r="AQ49" i="3"/>
  <c r="AQ53" i="3"/>
  <c r="AQ54" i="3"/>
  <c r="AQ55" i="3"/>
  <c r="AQ56" i="3"/>
  <c r="AQ57" i="3"/>
  <c r="AQ58" i="3"/>
  <c r="AQ60" i="3"/>
  <c r="AQ63" i="3"/>
  <c r="AQ64" i="3"/>
  <c r="AQ65" i="3"/>
  <c r="AQ66" i="3"/>
  <c r="AQ68" i="3"/>
  <c r="AQ69" i="3"/>
  <c r="AQ71" i="3"/>
  <c r="AQ72" i="3"/>
  <c r="AQ73" i="3"/>
  <c r="AQ74" i="3"/>
  <c r="AQ76" i="3"/>
  <c r="AQ77" i="3"/>
  <c r="AQ78" i="3"/>
  <c r="AQ81" i="3"/>
  <c r="AQ84" i="3"/>
  <c r="AQ86" i="3"/>
  <c r="AQ87" i="3"/>
  <c r="AQ88" i="3"/>
  <c r="AQ91" i="3"/>
  <c r="AQ92" i="3"/>
  <c r="AQ93" i="3"/>
  <c r="AQ100" i="3"/>
  <c r="AQ101" i="3"/>
  <c r="AQ103" i="3"/>
  <c r="AQ105" i="3"/>
  <c r="AQ106" i="3"/>
  <c r="AQ109" i="3"/>
  <c r="AQ112" i="3"/>
  <c r="AQ113" i="3"/>
  <c r="AQ115" i="3"/>
  <c r="AQ116" i="3"/>
  <c r="AQ117" i="3"/>
  <c r="AQ118" i="3"/>
  <c r="AQ119" i="3"/>
  <c r="AQ122" i="3"/>
  <c r="AQ123" i="3"/>
  <c r="AQ124" i="3"/>
  <c r="AQ125" i="3"/>
  <c r="AQ128" i="3"/>
  <c r="AQ129" i="3"/>
  <c r="AQ130" i="3"/>
  <c r="AQ131" i="3"/>
  <c r="AQ138" i="3"/>
  <c r="AQ140" i="3"/>
  <c r="AQ142" i="3"/>
  <c r="AQ143" i="3"/>
  <c r="AQ145" i="3"/>
  <c r="AQ147" i="3"/>
  <c r="AQ149" i="3"/>
  <c r="AQ150" i="3"/>
  <c r="AQ151" i="3"/>
  <c r="AQ152" i="3"/>
  <c r="AQ160" i="3"/>
  <c r="AQ162" i="3"/>
  <c r="AQ163" i="3"/>
  <c r="AQ164" i="3"/>
  <c r="AQ165" i="3"/>
  <c r="AQ168" i="3"/>
  <c r="AQ169" i="3"/>
  <c r="AQ171" i="3"/>
  <c r="AQ172" i="3"/>
  <c r="AQ174" i="3"/>
  <c r="AQ176" i="3"/>
  <c r="AQ177" i="3"/>
  <c r="AQ178" i="3"/>
  <c r="AQ179" i="3"/>
  <c r="AQ180" i="3"/>
  <c r="AQ184" i="3"/>
  <c r="AQ185" i="3"/>
  <c r="AQ186" i="3"/>
  <c r="AQ187" i="3"/>
  <c r="AQ189" i="3"/>
  <c r="AQ194" i="3"/>
  <c r="AQ195" i="3"/>
  <c r="AQ199" i="3"/>
  <c r="AQ200" i="3"/>
  <c r="AQ201" i="3"/>
  <c r="AQ203" i="3"/>
  <c r="AQ204" i="3"/>
  <c r="AQ207" i="3"/>
  <c r="AQ210" i="3"/>
  <c r="AQ211" i="3"/>
  <c r="AQ213" i="3"/>
  <c r="AQ214" i="3"/>
  <c r="AQ215" i="3"/>
  <c r="AQ216" i="3"/>
  <c r="AQ219" i="3"/>
  <c r="AQ220" i="3"/>
  <c r="AQ221" i="3"/>
  <c r="AQ223" i="3"/>
  <c r="AQ225" i="3"/>
  <c r="AQ226" i="3"/>
  <c r="AQ228" i="3"/>
  <c r="AQ229" i="3"/>
  <c r="AQ230" i="3"/>
  <c r="AQ233" i="3"/>
  <c r="AQ234" i="3"/>
  <c r="AQ236" i="3"/>
  <c r="AQ237" i="3"/>
  <c r="AQ240" i="3"/>
  <c r="AQ241" i="3"/>
  <c r="AQ244" i="3"/>
  <c r="AQ246" i="3"/>
  <c r="AQ247" i="3"/>
  <c r="AQ249" i="3"/>
  <c r="AQ250" i="3"/>
  <c r="AQ251" i="3"/>
  <c r="AQ252" i="3"/>
  <c r="AQ255" i="3"/>
  <c r="AQ261" i="3"/>
  <c r="AQ262" i="3"/>
  <c r="AQ267" i="3"/>
  <c r="AQ269" i="3"/>
  <c r="AQ270" i="3"/>
  <c r="AQ272" i="3"/>
  <c r="AQ275" i="3"/>
  <c r="AQ276" i="3"/>
  <c r="AQ277" i="3"/>
  <c r="AQ278" i="3"/>
  <c r="AQ279" i="3"/>
  <c r="AQ280" i="3"/>
  <c r="AQ281" i="3"/>
  <c r="AQ282" i="3"/>
  <c r="AQ283" i="3"/>
  <c r="AQ284" i="3"/>
  <c r="AQ285" i="3"/>
  <c r="AQ287" i="3"/>
  <c r="AQ291" i="3"/>
  <c r="AQ293" i="3"/>
  <c r="AQ295" i="3"/>
  <c r="AQ296" i="3"/>
  <c r="AQ297" i="3"/>
  <c r="AQ298" i="3"/>
  <c r="AQ299" i="3"/>
  <c r="AQ300" i="3"/>
  <c r="AQ301" i="3"/>
  <c r="AQ303" i="3"/>
  <c r="AQ304" i="3"/>
  <c r="AQ305" i="3"/>
  <c r="AQ306" i="3"/>
  <c r="AQ307" i="3"/>
  <c r="AQ308" i="3"/>
  <c r="AQ309" i="3"/>
  <c r="AQ311" i="3"/>
  <c r="AQ312" i="3"/>
  <c r="AQ313" i="3"/>
  <c r="AQ314" i="3"/>
  <c r="AQ315" i="3"/>
  <c r="AQ318" i="3"/>
  <c r="AQ319" i="3"/>
  <c r="AQ320" i="3"/>
  <c r="AQ321" i="3"/>
  <c r="AQ322" i="3"/>
  <c r="AQ324" i="3"/>
  <c r="AQ325" i="3"/>
  <c r="AQ327" i="3"/>
  <c r="AQ328" i="3"/>
  <c r="AQ329" i="3"/>
  <c r="AQ330" i="3"/>
  <c r="AQ331" i="3"/>
  <c r="AQ333" i="3"/>
  <c r="AQ334" i="3"/>
  <c r="AQ336" i="3"/>
  <c r="AQ338" i="3"/>
  <c r="AQ340" i="3"/>
  <c r="AQ341" i="3"/>
  <c r="AQ344" i="3"/>
  <c r="AQ345" i="3"/>
  <c r="AQ346" i="3"/>
  <c r="AQ348" i="3"/>
  <c r="AQ349" i="3"/>
  <c r="AQ351" i="3"/>
  <c r="AQ352" i="3"/>
  <c r="AQ354" i="3"/>
  <c r="AQ355" i="3"/>
  <c r="AQ357" i="3"/>
  <c r="AQ358" i="3"/>
  <c r="AP7" i="3"/>
  <c r="AP8" i="3"/>
  <c r="AP10" i="3"/>
  <c r="AP11" i="3"/>
  <c r="AP13" i="3"/>
  <c r="AP17" i="3"/>
  <c r="AP18" i="3"/>
  <c r="AP19" i="3"/>
  <c r="AP20" i="3"/>
  <c r="AP21" i="3"/>
  <c r="AP22" i="3"/>
  <c r="AP23" i="3"/>
  <c r="AP25" i="3"/>
  <c r="AP26" i="3"/>
  <c r="AP28" i="3"/>
  <c r="AP30" i="3"/>
  <c r="AP31" i="3"/>
  <c r="AP32" i="3"/>
  <c r="AP33" i="3"/>
  <c r="AP34" i="3"/>
  <c r="AP35" i="3"/>
  <c r="AP36" i="3"/>
  <c r="AP38" i="3"/>
  <c r="AP41" i="3"/>
  <c r="AP42" i="3"/>
  <c r="AP43" i="3"/>
  <c r="AP45" i="3"/>
  <c r="AP47" i="3"/>
  <c r="AP48" i="3"/>
  <c r="AP49" i="3"/>
  <c r="AP53" i="3"/>
  <c r="AP54" i="3"/>
  <c r="AP55" i="3"/>
  <c r="AP56" i="3"/>
  <c r="AP57" i="3"/>
  <c r="AP58" i="3"/>
  <c r="AP60" i="3"/>
  <c r="AP63" i="3"/>
  <c r="AP64" i="3"/>
  <c r="AP65" i="3"/>
  <c r="AP66" i="3"/>
  <c r="AP68" i="3"/>
  <c r="AP69" i="3"/>
  <c r="AP71" i="3"/>
  <c r="AP72" i="3"/>
  <c r="AP73" i="3"/>
  <c r="AP74" i="3"/>
  <c r="AP76" i="3"/>
  <c r="AP77" i="3"/>
  <c r="AP78" i="3"/>
  <c r="AP81" i="3"/>
  <c r="AP84" i="3"/>
  <c r="AP86" i="3"/>
  <c r="AP87" i="3"/>
  <c r="AP88" i="3"/>
  <c r="AP91" i="3"/>
  <c r="AP92" i="3"/>
  <c r="AP93" i="3"/>
  <c r="AP100" i="3"/>
  <c r="AP101" i="3"/>
  <c r="AP103" i="3"/>
  <c r="AP105" i="3"/>
  <c r="AP106" i="3"/>
  <c r="AP109" i="3"/>
  <c r="AP112" i="3"/>
  <c r="AP113" i="3"/>
  <c r="AP115" i="3"/>
  <c r="AP116" i="3"/>
  <c r="AP117" i="3"/>
  <c r="AP118" i="3"/>
  <c r="AP119" i="3"/>
  <c r="AP122" i="3"/>
  <c r="AP123" i="3"/>
  <c r="AP124" i="3"/>
  <c r="AP125" i="3"/>
  <c r="AP128" i="3"/>
  <c r="AP129" i="3"/>
  <c r="AP130" i="3"/>
  <c r="AP131" i="3"/>
  <c r="AP138" i="3"/>
  <c r="AP140" i="3"/>
  <c r="AP142" i="3"/>
  <c r="AP143" i="3"/>
  <c r="AP145" i="3"/>
  <c r="AP147" i="3"/>
  <c r="AP149" i="3"/>
  <c r="AP150" i="3"/>
  <c r="AP151" i="3"/>
  <c r="AP152" i="3"/>
  <c r="AP160" i="3"/>
  <c r="AP162" i="3"/>
  <c r="AP163" i="3"/>
  <c r="AP164" i="3"/>
  <c r="AP165" i="3"/>
  <c r="AP168" i="3"/>
  <c r="AP169" i="3"/>
  <c r="AP171" i="3"/>
  <c r="AP172" i="3"/>
  <c r="AP174" i="3"/>
  <c r="AP176" i="3"/>
  <c r="AP177" i="3"/>
  <c r="AP178" i="3"/>
  <c r="AP179" i="3"/>
  <c r="AP180" i="3"/>
  <c r="AP184" i="3"/>
  <c r="AP185" i="3"/>
  <c r="AP186" i="3"/>
  <c r="AP187" i="3"/>
  <c r="AP189" i="3"/>
  <c r="AP194" i="3"/>
  <c r="AP195" i="3"/>
  <c r="AP199" i="3"/>
  <c r="AP200" i="3"/>
  <c r="AP201" i="3"/>
  <c r="AP203" i="3"/>
  <c r="AP204" i="3"/>
  <c r="AP207" i="3"/>
  <c r="AP210" i="3"/>
  <c r="AP211" i="3"/>
  <c r="AP213" i="3"/>
  <c r="AP214" i="3"/>
  <c r="AP215" i="3"/>
  <c r="AP216" i="3"/>
  <c r="AP219" i="3"/>
  <c r="AP220" i="3"/>
  <c r="AP221" i="3"/>
  <c r="AP223" i="3"/>
  <c r="AP225" i="3"/>
  <c r="AP226" i="3"/>
  <c r="AP228" i="3"/>
  <c r="AP229" i="3"/>
  <c r="AP230" i="3"/>
  <c r="AP233" i="3"/>
  <c r="AP234" i="3"/>
  <c r="AP236" i="3"/>
  <c r="AP237" i="3"/>
  <c r="AP240" i="3"/>
  <c r="AP241" i="3"/>
  <c r="AP244" i="3"/>
  <c r="AP246" i="3"/>
  <c r="AP247" i="3"/>
  <c r="AP249" i="3"/>
  <c r="AP250" i="3"/>
  <c r="AP251" i="3"/>
  <c r="AP252" i="3"/>
  <c r="AP255" i="3"/>
  <c r="AP261" i="3"/>
  <c r="AP262" i="3"/>
  <c r="AP267" i="3"/>
  <c r="AP269" i="3"/>
  <c r="AP270" i="3"/>
  <c r="AP272" i="3"/>
  <c r="AP275" i="3"/>
  <c r="AP276" i="3"/>
  <c r="AP277" i="3"/>
  <c r="AP278" i="3"/>
  <c r="AP279" i="3"/>
  <c r="AP280" i="3"/>
  <c r="AP281" i="3"/>
  <c r="AP282" i="3"/>
  <c r="AP283" i="3"/>
  <c r="AP284" i="3"/>
  <c r="AP285" i="3"/>
  <c r="AP287" i="3"/>
  <c r="AP291" i="3"/>
  <c r="AP293" i="3"/>
  <c r="AP295" i="3"/>
  <c r="AP296" i="3"/>
  <c r="AP297" i="3"/>
  <c r="AP298" i="3"/>
  <c r="AP299" i="3"/>
  <c r="AP300" i="3"/>
  <c r="AP301" i="3"/>
  <c r="AP303" i="3"/>
  <c r="AP304" i="3"/>
  <c r="AP305" i="3"/>
  <c r="AP306" i="3"/>
  <c r="AP307" i="3"/>
  <c r="AP308" i="3"/>
  <c r="AP309" i="3"/>
  <c r="AP311" i="3"/>
  <c r="AP312" i="3"/>
  <c r="AP313" i="3"/>
  <c r="AP314" i="3"/>
  <c r="AP315" i="3"/>
  <c r="AP318" i="3"/>
  <c r="AP319" i="3"/>
  <c r="AP320" i="3"/>
  <c r="AP321" i="3"/>
  <c r="AP322" i="3"/>
  <c r="AP324" i="3"/>
  <c r="AP325" i="3"/>
  <c r="AP327" i="3"/>
  <c r="AP328" i="3"/>
  <c r="AP329" i="3"/>
  <c r="AP330" i="3"/>
  <c r="AP331" i="3"/>
  <c r="AP333" i="3"/>
  <c r="AP334" i="3"/>
  <c r="AP336" i="3"/>
  <c r="AP338" i="3"/>
  <c r="AP340" i="3"/>
  <c r="AP341" i="3"/>
  <c r="AP344" i="3"/>
  <c r="AP345" i="3"/>
  <c r="AP346" i="3"/>
  <c r="AP348" i="3"/>
  <c r="AP349" i="3"/>
  <c r="AP351" i="3"/>
  <c r="AP352" i="3"/>
  <c r="AP354" i="3"/>
  <c r="AP355" i="3"/>
  <c r="AP357" i="3"/>
  <c r="AP358" i="3"/>
  <c r="AO83" i="3"/>
  <c r="AO131" i="3"/>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0" i="1"/>
  <c r="AV501" i="1"/>
  <c r="AV502" i="1"/>
  <c r="AV503" i="1"/>
  <c r="AV504" i="1"/>
  <c r="AV505" i="1"/>
  <c r="AV506" i="1"/>
  <c r="AV507" i="1"/>
  <c r="AV508" i="1"/>
  <c r="AV509" i="1"/>
  <c r="AV510" i="1"/>
  <c r="AV511" i="1"/>
  <c r="AV512" i="1"/>
  <c r="AV513" i="1"/>
  <c r="AV514" i="1"/>
  <c r="AV515" i="1"/>
  <c r="AV516"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85" i="1"/>
  <c r="AV586" i="1"/>
  <c r="AV587" i="1"/>
  <c r="AV588" i="1"/>
  <c r="AV589" i="1"/>
  <c r="AV590" i="1"/>
  <c r="AV591" i="1"/>
  <c r="AV592" i="1"/>
  <c r="AV593" i="1"/>
  <c r="AV594" i="1"/>
  <c r="AV595" i="1"/>
  <c r="AV596" i="1"/>
  <c r="AV597" i="1"/>
  <c r="AV598" i="1"/>
  <c r="AV599" i="1"/>
  <c r="AV600" i="1"/>
  <c r="AV601" i="1"/>
  <c r="AV602" i="1"/>
  <c r="AV603" i="1"/>
  <c r="AV604" i="1"/>
  <c r="AV605" i="1"/>
  <c r="AV606" i="1"/>
  <c r="AV607" i="1"/>
  <c r="AV608" i="1"/>
  <c r="AV609" i="1"/>
  <c r="AV610" i="1"/>
  <c r="AV611" i="1"/>
  <c r="AV612" i="1"/>
  <c r="AV613" i="1"/>
  <c r="AV614" i="1"/>
  <c r="AV615" i="1"/>
  <c r="AV616" i="1"/>
  <c r="AV617" i="1"/>
  <c r="AV618" i="1"/>
  <c r="AV619" i="1"/>
  <c r="AV620" i="1"/>
  <c r="AV621" i="1"/>
  <c r="AV622" i="1"/>
  <c r="AV623" i="1"/>
  <c r="AV624" i="1"/>
  <c r="AV625" i="1"/>
  <c r="AV626" i="1"/>
  <c r="AV627" i="1"/>
  <c r="AV628" i="1"/>
  <c r="AV629" i="1"/>
  <c r="AV630" i="1"/>
  <c r="AV631" i="1"/>
  <c r="AV632" i="1"/>
  <c r="AV633" i="1"/>
  <c r="AV634" i="1"/>
  <c r="AV635" i="1"/>
  <c r="AV636" i="1"/>
  <c r="AV637" i="1"/>
  <c r="AV638" i="1"/>
  <c r="AV639" i="1"/>
  <c r="AV640" i="1"/>
  <c r="AV641" i="1"/>
  <c r="AV642" i="1"/>
  <c r="AV643" i="1"/>
  <c r="AV644" i="1"/>
  <c r="AV645" i="1"/>
  <c r="AV646" i="1"/>
  <c r="AV647" i="1"/>
  <c r="AV648" i="1"/>
  <c r="AV649" i="1"/>
  <c r="AV650" i="1"/>
  <c r="AV651" i="1"/>
  <c r="AV652" i="1"/>
  <c r="AV653" i="1"/>
  <c r="AV654" i="1"/>
  <c r="AV655" i="1"/>
  <c r="AV656" i="1"/>
  <c r="AV657" i="1"/>
  <c r="AV658" i="1"/>
  <c r="AV659" i="1"/>
  <c r="AV660" i="1"/>
  <c r="AV661" i="1"/>
  <c r="AV662" i="1"/>
  <c r="AV663" i="1"/>
  <c r="AV664" i="1"/>
  <c r="AV665" i="1"/>
  <c r="AV666" i="1"/>
  <c r="AV667" i="1"/>
  <c r="AV668" i="1"/>
  <c r="AV669" i="1"/>
  <c r="AV670" i="1"/>
  <c r="AV671" i="1"/>
  <c r="AV672" i="1"/>
  <c r="AV673" i="1"/>
  <c r="AV674" i="1"/>
  <c r="AV675" i="1"/>
  <c r="AV676" i="1"/>
  <c r="AV677" i="1"/>
  <c r="AV678" i="1"/>
  <c r="AV679" i="1"/>
  <c r="AV680" i="1"/>
  <c r="AV681" i="1"/>
  <c r="AV682" i="1"/>
  <c r="AV683" i="1"/>
  <c r="AV684" i="1"/>
  <c r="AV685" i="1"/>
  <c r="AV686" i="1"/>
  <c r="AV687" i="1"/>
  <c r="AV688" i="1"/>
  <c r="AV689" i="1"/>
  <c r="AV690" i="1"/>
  <c r="AV691" i="1"/>
  <c r="AV692" i="1"/>
  <c r="AV693" i="1"/>
  <c r="AV694" i="1"/>
  <c r="AV695" i="1"/>
  <c r="AV696" i="1"/>
  <c r="AV697" i="1"/>
  <c r="AV698" i="1"/>
  <c r="AV699" i="1"/>
  <c r="AV700" i="1"/>
  <c r="AV701" i="1"/>
  <c r="AV702" i="1"/>
  <c r="AV703" i="1"/>
  <c r="AV704" i="1"/>
  <c r="AV705" i="1"/>
  <c r="AV706" i="1"/>
  <c r="AV707" i="1"/>
  <c r="AV708" i="1"/>
  <c r="AV709" i="1"/>
  <c r="AV710" i="1"/>
  <c r="AV711" i="1"/>
  <c r="AV712" i="1"/>
  <c r="AV713" i="1"/>
  <c r="AV714" i="1"/>
  <c r="AV715" i="1"/>
  <c r="AV716" i="1"/>
  <c r="AV717" i="1"/>
  <c r="AV718" i="1"/>
  <c r="AV719" i="1"/>
  <c r="AV720" i="1"/>
  <c r="AV721" i="1"/>
  <c r="AV722" i="1"/>
  <c r="AV723" i="1"/>
  <c r="AV724" i="1"/>
  <c r="AV725" i="1"/>
  <c r="AV726" i="1"/>
  <c r="AV727" i="1"/>
  <c r="AV728" i="1"/>
  <c r="AV729" i="1"/>
  <c r="AV730" i="1"/>
  <c r="AV731" i="1"/>
  <c r="AV732" i="1"/>
  <c r="AV733" i="1"/>
  <c r="AV734" i="1"/>
  <c r="AV735" i="1"/>
  <c r="AV736" i="1"/>
  <c r="AV737" i="1"/>
  <c r="AV738" i="1"/>
  <c r="AV739" i="1"/>
  <c r="AV740" i="1"/>
  <c r="AV741" i="1"/>
  <c r="AV742" i="1"/>
  <c r="AV743" i="1"/>
  <c r="AV744" i="1"/>
  <c r="AV745" i="1"/>
  <c r="AV746" i="1"/>
  <c r="AV747" i="1"/>
  <c r="AV748" i="1"/>
  <c r="AV749" i="1"/>
  <c r="AV750" i="1"/>
  <c r="AV751" i="1"/>
  <c r="AV752" i="1"/>
  <c r="AV753" i="1"/>
  <c r="AV754" i="1"/>
  <c r="AV755" i="1"/>
  <c r="AV756" i="1"/>
  <c r="AV757" i="1"/>
  <c r="AV758" i="1"/>
  <c r="AV759" i="1"/>
  <c r="AV760" i="1"/>
  <c r="AV761" i="1"/>
  <c r="AV762" i="1"/>
  <c r="AV763" i="1"/>
  <c r="AV764" i="1"/>
  <c r="AV765" i="1"/>
  <c r="AV766" i="1"/>
  <c r="AV767" i="1"/>
  <c r="AV768" i="1"/>
  <c r="AV769" i="1"/>
  <c r="AV770" i="1"/>
  <c r="AV771" i="1"/>
  <c r="AV772" i="1"/>
  <c r="AV773" i="1"/>
  <c r="AV774" i="1"/>
  <c r="AV775" i="1"/>
  <c r="AV776" i="1"/>
  <c r="AV777" i="1"/>
  <c r="AV778" i="1"/>
  <c r="AV779" i="1"/>
  <c r="AV780" i="1"/>
  <c r="AV781" i="1"/>
  <c r="AV782" i="1"/>
  <c r="AV783" i="1"/>
  <c r="AV784" i="1"/>
  <c r="AV785" i="1"/>
  <c r="AV786" i="1"/>
  <c r="AV787" i="1"/>
  <c r="AV788" i="1"/>
  <c r="AV789" i="1"/>
  <c r="AV790" i="1"/>
  <c r="AV791" i="1"/>
  <c r="AV792" i="1"/>
  <c r="AV793" i="1"/>
  <c r="AV794" i="1"/>
  <c r="AV795" i="1"/>
  <c r="AV796" i="1"/>
  <c r="AV797" i="1"/>
  <c r="AV798" i="1"/>
  <c r="AV799" i="1"/>
  <c r="AV800" i="1"/>
  <c r="AV801" i="1"/>
  <c r="AV802" i="1"/>
  <c r="AV803" i="1"/>
  <c r="AV804" i="1"/>
  <c r="AV805" i="1"/>
  <c r="AV806" i="1"/>
  <c r="AV807" i="1"/>
  <c r="AV808" i="1"/>
  <c r="AV809" i="1"/>
  <c r="AV810" i="1"/>
  <c r="AV811" i="1"/>
  <c r="AV812" i="1"/>
  <c r="AV813" i="1"/>
  <c r="AV814" i="1"/>
  <c r="AV815" i="1"/>
  <c r="AV816" i="1"/>
  <c r="AV817" i="1"/>
  <c r="AV818" i="1"/>
  <c r="AV819" i="1"/>
  <c r="AV820" i="1"/>
  <c r="AV821" i="1"/>
  <c r="AV822" i="1"/>
  <c r="AV823" i="1"/>
  <c r="AV824" i="1"/>
  <c r="AV825" i="1"/>
  <c r="AV826" i="1"/>
  <c r="AV827" i="1"/>
  <c r="AV828" i="1"/>
  <c r="AV829" i="1"/>
  <c r="AV830" i="1"/>
  <c r="AV831" i="1"/>
  <c r="AV832" i="1"/>
  <c r="AV833" i="1"/>
  <c r="AV834" i="1"/>
  <c r="AV835" i="1"/>
  <c r="AV836" i="1"/>
  <c r="AV837" i="1"/>
  <c r="AV838" i="1"/>
  <c r="AV839" i="1"/>
  <c r="AV840" i="1"/>
  <c r="AV841" i="1"/>
  <c r="AV842" i="1"/>
  <c r="AV843" i="1"/>
  <c r="AV844" i="1"/>
  <c r="AV845" i="1"/>
  <c r="AV846" i="1"/>
  <c r="AV847" i="1"/>
  <c r="AV848" i="1"/>
  <c r="AV849" i="1"/>
  <c r="AV850" i="1"/>
  <c r="AV851" i="1"/>
  <c r="AV852" i="1"/>
  <c r="AV853" i="1"/>
  <c r="AV854" i="1"/>
  <c r="AV855" i="1"/>
  <c r="AV856" i="1"/>
  <c r="AV857" i="1"/>
  <c r="AV858" i="1"/>
  <c r="AV859" i="1"/>
  <c r="AV860" i="1"/>
  <c r="AV861" i="1"/>
  <c r="AV862" i="1"/>
  <c r="AV863" i="1"/>
  <c r="AV864" i="1"/>
  <c r="AV865" i="1"/>
  <c r="AV866" i="1"/>
  <c r="AV867" i="1"/>
  <c r="AV868" i="1"/>
  <c r="AV869" i="1"/>
  <c r="AV870" i="1"/>
  <c r="AV871" i="1"/>
  <c r="AV872" i="1"/>
  <c r="AV873" i="1"/>
  <c r="AV874" i="1"/>
  <c r="AV875" i="1"/>
  <c r="AV876" i="1"/>
  <c r="AV877" i="1"/>
  <c r="AV878" i="1"/>
  <c r="AV879" i="1"/>
  <c r="AV880" i="1"/>
  <c r="AV881" i="1"/>
  <c r="AV882" i="1"/>
  <c r="AV883" i="1"/>
  <c r="AV884" i="1"/>
  <c r="AV885" i="1"/>
  <c r="AV886" i="1"/>
  <c r="AV887" i="1"/>
  <c r="AV888" i="1"/>
  <c r="AV889" i="1"/>
  <c r="AV890" i="1"/>
  <c r="AV891" i="1"/>
  <c r="AV892" i="1"/>
  <c r="AV893" i="1"/>
  <c r="AV894" i="1"/>
  <c r="AV895" i="1"/>
  <c r="AV896" i="1"/>
  <c r="AV897" i="1"/>
  <c r="AV898" i="1"/>
  <c r="AV899" i="1"/>
  <c r="AV900" i="1"/>
  <c r="AV901" i="1"/>
  <c r="AV902" i="1"/>
  <c r="AV903" i="1"/>
  <c r="AV904" i="1"/>
  <c r="AV905" i="1"/>
  <c r="AV906" i="1"/>
  <c r="AV907" i="1"/>
  <c r="AV908" i="1"/>
  <c r="AV909" i="1"/>
  <c r="AV910" i="1"/>
  <c r="AV911" i="1"/>
  <c r="AV912" i="1"/>
  <c r="AV913" i="1"/>
  <c r="AV914" i="1"/>
  <c r="AV915" i="1"/>
  <c r="AV916" i="1"/>
  <c r="AV917" i="1"/>
  <c r="AV918" i="1"/>
  <c r="AV919" i="1"/>
  <c r="AV920" i="1"/>
  <c r="AV921"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945" i="1"/>
  <c r="AV946" i="1"/>
  <c r="AV947" i="1"/>
  <c r="AV948" i="1"/>
  <c r="AV949" i="1"/>
  <c r="AV950" i="1"/>
  <c r="AV951" i="1"/>
  <c r="AV952" i="1"/>
  <c r="AV953" i="1"/>
  <c r="AV954" i="1"/>
  <c r="AV955" i="1"/>
  <c r="AV956" i="1"/>
  <c r="AV957" i="1"/>
  <c r="AV958" i="1"/>
  <c r="AV959" i="1"/>
  <c r="AV960" i="1"/>
  <c r="AV961" i="1"/>
  <c r="AV962" i="1"/>
  <c r="AV963" i="1"/>
  <c r="AV964" i="1"/>
  <c r="AV965" i="1"/>
  <c r="AV966" i="1"/>
  <c r="AV967" i="1"/>
  <c r="AV968" i="1"/>
  <c r="AV969" i="1"/>
  <c r="AV970" i="1"/>
  <c r="AV971" i="1"/>
  <c r="AV972" i="1"/>
  <c r="AV973" i="1"/>
  <c r="AV974" i="1"/>
  <c r="AV975" i="1"/>
  <c r="AV976" i="1"/>
  <c r="AV977" i="1"/>
  <c r="AV978" i="1"/>
  <c r="AV979" i="1"/>
  <c r="AV980" i="1"/>
  <c r="AV981" i="1"/>
  <c r="AV982" i="1"/>
  <c r="AV983" i="1"/>
  <c r="AV984" i="1"/>
  <c r="AV985" i="1"/>
  <c r="AV986" i="1"/>
  <c r="AV987" i="1"/>
  <c r="AV988" i="1"/>
  <c r="AV989" i="1"/>
  <c r="AV990" i="1"/>
  <c r="AV991" i="1"/>
  <c r="AV992" i="1"/>
  <c r="AV993"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X17" i="1"/>
  <c r="X19" i="1"/>
  <c r="X20" i="1"/>
  <c r="X21" i="1"/>
  <c r="X22" i="1"/>
  <c r="X23" i="1"/>
  <c r="X24" i="1"/>
  <c r="X30" i="1"/>
  <c r="X34" i="1"/>
  <c r="X36" i="1"/>
  <c r="X41" i="1"/>
  <c r="X46" i="1"/>
  <c r="X47" i="1"/>
  <c r="X48" i="1"/>
  <c r="X51" i="1"/>
  <c r="X52" i="1"/>
  <c r="X53" i="1"/>
  <c r="X54" i="1"/>
  <c r="X55" i="1"/>
  <c r="X56" i="1"/>
  <c r="X57" i="1"/>
  <c r="X58" i="1"/>
  <c r="X59" i="1"/>
  <c r="X60" i="1"/>
  <c r="X62" i="1"/>
  <c r="X63" i="1"/>
  <c r="X67" i="1"/>
  <c r="X68" i="1"/>
  <c r="X87" i="1"/>
  <c r="X89" i="1"/>
  <c r="X92" i="1"/>
  <c r="X93" i="1"/>
  <c r="X97" i="1"/>
  <c r="X98" i="1"/>
  <c r="X99" i="1"/>
  <c r="X171" i="1"/>
  <c r="X211" i="1"/>
  <c r="X233" i="1"/>
  <c r="X234" i="1"/>
  <c r="X237" i="1"/>
  <c r="X238" i="1"/>
  <c r="X239" i="1"/>
  <c r="X241" i="1"/>
  <c r="X247" i="1"/>
  <c r="X248" i="1"/>
  <c r="X250" i="1"/>
  <c r="X251" i="1"/>
  <c r="X257" i="1"/>
  <c r="X258" i="1"/>
  <c r="X261" i="1"/>
  <c r="X263" i="1"/>
  <c r="X266" i="1"/>
  <c r="X267" i="1"/>
  <c r="X268" i="1"/>
  <c r="X269" i="1"/>
  <c r="X270" i="1"/>
  <c r="X271" i="1"/>
  <c r="X275" i="1"/>
  <c r="X276" i="1"/>
  <c r="X282" i="1"/>
  <c r="X284" i="1"/>
  <c r="X296" i="1"/>
  <c r="X299" i="1"/>
  <c r="X303" i="1"/>
  <c r="X305" i="1"/>
  <c r="X315" i="1"/>
  <c r="X317" i="1"/>
  <c r="X322" i="1"/>
  <c r="X323" i="1"/>
  <c r="X324" i="1"/>
  <c r="X325" i="1"/>
  <c r="X330" i="1"/>
  <c r="X331" i="1"/>
  <c r="X332" i="1"/>
  <c r="X333" i="1"/>
  <c r="X335" i="1"/>
  <c r="X336" i="1"/>
  <c r="X340" i="1"/>
  <c r="X355" i="1"/>
  <c r="X356" i="1"/>
  <c r="X357" i="1"/>
  <c r="X366" i="1"/>
  <c r="X367" i="1"/>
  <c r="X372" i="1"/>
  <c r="X373" i="1"/>
  <c r="X374" i="1"/>
  <c r="X375" i="1"/>
  <c r="X377" i="1"/>
  <c r="X378" i="1"/>
  <c r="X388" i="1"/>
  <c r="X390" i="1"/>
  <c r="X391" i="1"/>
  <c r="X393" i="1"/>
  <c r="X394" i="1"/>
  <c r="X395" i="1"/>
  <c r="X396" i="1"/>
  <c r="X401" i="1"/>
  <c r="X404" i="1"/>
  <c r="X413" i="1"/>
  <c r="X415" i="1"/>
  <c r="X416" i="1"/>
  <c r="X449" i="1"/>
  <c r="X452" i="1"/>
  <c r="X453" i="1"/>
  <c r="X454" i="1"/>
  <c r="X455" i="1"/>
  <c r="X456" i="1"/>
  <c r="X457" i="1"/>
  <c r="X458" i="1"/>
  <c r="X472" i="1"/>
  <c r="X473" i="1"/>
  <c r="X474" i="1"/>
  <c r="X475" i="1"/>
  <c r="X476" i="1"/>
  <c r="X477" i="1"/>
  <c r="X478" i="1"/>
  <c r="X479" i="1"/>
  <c r="X487" i="1"/>
  <c r="X489" i="1"/>
  <c r="X490" i="1"/>
  <c r="X491" i="1"/>
  <c r="X492" i="1"/>
  <c r="X493" i="1"/>
  <c r="X494" i="1"/>
  <c r="X495" i="1"/>
  <c r="X496" i="1"/>
  <c r="X497" i="1"/>
  <c r="X498" i="1"/>
  <c r="X499" i="1"/>
  <c r="X500" i="1"/>
  <c r="X501" i="1"/>
  <c r="X502" i="1"/>
  <c r="X503" i="1"/>
  <c r="X504" i="1"/>
  <c r="X505" i="1"/>
  <c r="X506" i="1"/>
  <c r="X507" i="1"/>
  <c r="X514" i="1"/>
  <c r="X566" i="1"/>
  <c r="X568" i="1"/>
  <c r="X571" i="1"/>
  <c r="X573" i="1"/>
  <c r="X582" i="1"/>
  <c r="X590" i="1"/>
  <c r="X591" i="1"/>
  <c r="X592" i="1"/>
  <c r="X594" i="1"/>
  <c r="X598" i="1"/>
  <c r="X599" i="1"/>
  <c r="X600" i="1"/>
  <c r="X601" i="1"/>
  <c r="X602" i="1"/>
  <c r="X603" i="1"/>
  <c r="X604" i="1"/>
  <c r="X605" i="1"/>
  <c r="X606" i="1"/>
  <c r="X607" i="1"/>
  <c r="X608" i="1"/>
  <c r="X766" i="1"/>
  <c r="X771" i="1"/>
  <c r="X780" i="1"/>
  <c r="X781" i="1"/>
  <c r="X782" i="1"/>
  <c r="X783" i="1"/>
  <c r="X802" i="1"/>
  <c r="X803" i="1"/>
  <c r="X804" i="1"/>
  <c r="X805" i="1"/>
  <c r="X806" i="1"/>
  <c r="X819" i="1"/>
  <c r="X823" i="1"/>
  <c r="X836" i="1"/>
  <c r="X843" i="1"/>
  <c r="X844" i="1"/>
  <c r="X845" i="1"/>
  <c r="X846" i="1"/>
  <c r="X847" i="1"/>
  <c r="X858" i="1"/>
  <c r="X860" i="1"/>
  <c r="X862" i="1"/>
  <c r="X867" i="1"/>
  <c r="X871" i="1"/>
  <c r="X873" i="1"/>
  <c r="X874" i="1"/>
  <c r="X875" i="1"/>
  <c r="X876" i="1"/>
  <c r="X877" i="1"/>
  <c r="X878" i="1"/>
  <c r="X879" i="1"/>
  <c r="X880" i="1"/>
  <c r="X881" i="1"/>
  <c r="X886" i="1"/>
  <c r="X887" i="1"/>
  <c r="X888" i="1"/>
  <c r="X889" i="1"/>
  <c r="X890" i="1"/>
  <c r="X891" i="1"/>
  <c r="X892" i="1"/>
  <c r="X893" i="1"/>
  <c r="X894" i="1"/>
  <c r="X920" i="1"/>
  <c r="X923" i="1"/>
  <c r="X931" i="1"/>
  <c r="X935" i="1"/>
  <c r="X938" i="1"/>
  <c r="X939" i="1"/>
  <c r="X940" i="1"/>
  <c r="X941" i="1"/>
  <c r="X942" i="1"/>
  <c r="X943" i="1"/>
  <c r="X944" i="1"/>
  <c r="X945" i="1"/>
  <c r="X946" i="1"/>
  <c r="X947" i="1"/>
  <c r="X951" i="1"/>
  <c r="X973" i="1"/>
  <c r="X974" i="1"/>
  <c r="X977" i="1"/>
  <c r="X978" i="1"/>
  <c r="X981" i="1"/>
  <c r="X987" i="1"/>
  <c r="Q251" i="1"/>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36"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O34" i="7" l="1"/>
  <c r="O35" i="7"/>
  <c r="G34" i="7"/>
  <c r="G35" i="7"/>
  <c r="K34" i="7"/>
  <c r="K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<sst xmlns="http://schemas.openxmlformats.org/spreadsheetml/2006/main" count="21597" uniqueCount="7639">
  <si>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</si>
  <si>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</si>
  <si>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</si>
  <si>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</si>
  <si>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</si>
  <si>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</si>
  <si>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</si>
  <si>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</si>
  <si>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</si>
  <si>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</si>
  <si>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</si>
  <si>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</si>
  <si>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</si>
  <si>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</si>
  <si>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</si>
  <si>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</si>
  <si>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</si>
  <si>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</si>
  <si>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</si>
  <si>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</si>
  <si>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</si>
  <si>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</si>
  <si>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</si>
  <si>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</si>
  <si>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</si>
  <si>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</si>
  <si>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</si>
  <si>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</si>
  <si>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</si>
  <si>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</si>
  <si>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</si>
  <si>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</si>
  <si>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</si>
  <si>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</si>
  <si>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</si>
  <si>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</si>
  <si>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</si>
  <si>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</si>
  <si>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</si>
  <si>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</si>
  <si>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</si>
  <si>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</si>
  <si>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</si>
  <si>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</si>
  <si>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</si>
  <si>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</si>
  <si>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</si>
  <si>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</si>
  <si>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</si>
  <si>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</si>
  <si>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</si>
  <si>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</si>
  <si>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</si>
  <si>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</si>
  <si>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</si>
  <si>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</si>
  <si>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</si>
  <si>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</si>
  <si>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</si>
  <si>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</si>
  <si>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</si>
  <si>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</si>
  <si>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</si>
  <si>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</si>
  <si>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</si>
  <si>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</si>
  <si>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</si>
  <si>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</si>
  <si>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</si>
  <si>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</si>
  <si>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</si>
  <si>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</si>
  <si>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</si>
  <si>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</si>
  <si>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</si>
  <si>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</si>
  <si>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</si>
  <si>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</si>
  <si>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</si>
  <si>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</si>
  <si>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</si>
  <si>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</si>
  <si>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</si>
  <si>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</si>
  <si>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</si>
  <si>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</si>
  <si>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</si>
  <si>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</si>
  <si>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</si>
  <si>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</si>
  <si>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</si>
  <si>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</si>
  <si>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</si>
  <si>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</si>
  <si>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</si>
  <si>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</si>
  <si>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</si>
  <si>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</si>
  <si>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</si>
  <si>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</si>
  <si>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</si>
  <si>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</si>
  <si>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</si>
  <si>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</si>
  <si>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</si>
  <si>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</si>
  <si>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</si>
  <si>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</si>
  <si>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</si>
  <si>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</si>
  <si>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</si>
  <si>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</si>
  <si>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</si>
  <si>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</si>
  <si>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</si>
  <si>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</si>
  <si>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</si>
  <si>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</si>
  <si>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</si>
  <si>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</si>
  <si>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</si>
  <si>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</si>
  <si>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</si>
  <si>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</si>
  <si>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</si>
  <si>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</si>
  <si>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</si>
  <si>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</si>
  <si>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</si>
  <si>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</si>
  <si>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</si>
  <si>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</si>
  <si>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</si>
  <si>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</si>
  <si>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</si>
  <si>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</si>
  <si>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</si>
  <si>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</si>
  <si>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</si>
  <si>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</si>
  <si>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</si>
  <si>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</si>
  <si>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</si>
  <si>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</si>
  <si>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</si>
  <si>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</si>
  <si>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</si>
  <si>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</si>
  <si>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</si>
  <si>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</si>
  <si>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</si>
  <si>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</si>
  <si>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</si>
  <si>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</si>
  <si>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</si>
  <si>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</si>
  <si>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</si>
  <si>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</si>
  <si>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</si>
  <si>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</si>
  <si>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</si>
  <si>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</si>
  <si>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</si>
  <si>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</si>
  <si>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</si>
  <si>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</si>
  <si>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</si>
  <si>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</si>
  <si>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</si>
  <si>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</si>
  <si>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</si>
  <si>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</si>
  <si>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</si>
  <si>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</si>
  <si>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</si>
  <si>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</si>
  <si>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</si>
  <si>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</si>
  <si>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</si>
  <si>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</si>
  <si>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Retweet Count</t>
  </si>
  <si>
    <t>Favorite Count</t>
  </si>
  <si>
    <t>Reply Count</t>
  </si>
  <si>
    <t>Quote Count</t>
  </si>
  <si>
    <t>Impression Count</t>
  </si>
  <si>
    <t>Hashtags in Tweet</t>
  </si>
  <si>
    <t>URLs in Tweet</t>
  </si>
  <si>
    <t>Domains in Tweet</t>
  </si>
  <si>
    <t>Mentions in Tweet</t>
  </si>
  <si>
    <t>Media in Tweet</t>
  </si>
  <si>
    <t>Media Type</t>
  </si>
  <si>
    <t>Source</t>
  </si>
  <si>
    <t>Language</t>
  </si>
  <si>
    <t>Twitter Page for Tweet</t>
  </si>
  <si>
    <t>Tweet Date (UTC)</t>
  </si>
  <si>
    <t>Date</t>
  </si>
  <si>
    <t>Time</t>
  </si>
  <si>
    <t>Possibly Sensitive</t>
  </si>
  <si>
    <t>Place Bounding Box</t>
  </si>
  <si>
    <t>Place Country</t>
  </si>
  <si>
    <t>Place Country Code</t>
  </si>
  <si>
    <t>Place Full Name</t>
  </si>
  <si>
    <t>Place ID</t>
  </si>
  <si>
    <t>Place Name</t>
  </si>
  <si>
    <t>Place Type</t>
  </si>
  <si>
    <t>Media Key</t>
  </si>
  <si>
    <t>Media Duration (ms)</t>
  </si>
  <si>
    <t>Media Height</t>
  </si>
  <si>
    <t>Media Width</t>
  </si>
  <si>
    <t>Media View Count</t>
  </si>
  <si>
    <t>Tweet Image File</t>
  </si>
  <si>
    <t>Imported ID</t>
  </si>
  <si>
    <t>Conversation ID</t>
  </si>
  <si>
    <t>In Reply To User ID</t>
  </si>
  <si>
    <t>In Reply To Tweet ID</t>
  </si>
  <si>
    <t>Quoted Status ID</t>
  </si>
  <si>
    <t>Retweet ID</t>
  </si>
  <si>
    <t>Unified Twitter ID</t>
  </si>
  <si>
    <t>Author ID</t>
  </si>
  <si>
    <t>Poll ID</t>
  </si>
  <si>
    <t>Poll Options</t>
  </si>
  <si>
    <t>Poll Duration</t>
  </si>
  <si>
    <t>Poll End Date</t>
  </si>
  <si>
    <t>Poll Voting Status</t>
  </si>
  <si>
    <t>menteblindados</t>
  </si>
  <si>
    <t>thiagoireland</t>
  </si>
  <si>
    <t>jhonatanlima0</t>
  </si>
  <si>
    <t>mat_financeira</t>
  </si>
  <si>
    <t>investoom_com</t>
  </si>
  <si>
    <t>ronysampaioadm</t>
  </si>
  <si>
    <t>infohindi009</t>
  </si>
  <si>
    <t>agcontador_</t>
  </si>
  <si>
    <t>radio_boreal</t>
  </si>
  <si>
    <t>webtcoficial</t>
  </si>
  <si>
    <t>lisabnelson7885</t>
  </si>
  <si>
    <t>uilmanganelli</t>
  </si>
  <si>
    <t>af_liberdade</t>
  </si>
  <si>
    <t>luciane00547445</t>
  </si>
  <si>
    <t>agrocapitais</t>
  </si>
  <si>
    <t>calilecalil</t>
  </si>
  <si>
    <t>eloanportugal</t>
  </si>
  <si>
    <t>fabiosantanacs</t>
  </si>
  <si>
    <t>alexandras_es</t>
  </si>
  <si>
    <t>apilfibr</t>
  </si>
  <si>
    <t>giordanobarboza</t>
  </si>
  <si>
    <t>educandopessoas</t>
  </si>
  <si>
    <t>fairspinpt</t>
  </si>
  <si>
    <t>pedro_a_nery</t>
  </si>
  <si>
    <t>hmr1973</t>
  </si>
  <si>
    <t>evandrodutrabtc</t>
  </si>
  <si>
    <t>inteligentbolsa</t>
  </si>
  <si>
    <t>giovaniaandre</t>
  </si>
  <si>
    <t>silvanarosaofic</t>
  </si>
  <si>
    <t>uchoavf</t>
  </si>
  <si>
    <t>crypnov4</t>
  </si>
  <si>
    <t>breenossantos</t>
  </si>
  <si>
    <t>bitfreedomgus</t>
  </si>
  <si>
    <t>bossladymillion</t>
  </si>
  <si>
    <t>sandroveiga_</t>
  </si>
  <si>
    <t>egsinvestiment2</t>
  </si>
  <si>
    <t>agconstelacao</t>
  </si>
  <si>
    <t>williamhuntbr</t>
  </si>
  <si>
    <t>raiamparts</t>
  </si>
  <si>
    <t>arbv_assessoria</t>
  </si>
  <si>
    <t>dhon_511</t>
  </si>
  <si>
    <t>pasidneysantos</t>
  </si>
  <si>
    <t>_paulomedeiros</t>
  </si>
  <si>
    <t>_erik_sb</t>
  </si>
  <si>
    <t>seutempoemrenda</t>
  </si>
  <si>
    <t>e_comprar</t>
  </si>
  <si>
    <t>conservadora191</t>
  </si>
  <si>
    <t>borafalardguito</t>
  </si>
  <si>
    <t>weweglob</t>
  </si>
  <si>
    <t>dracma316789</t>
  </si>
  <si>
    <t>rodrigosrp4</t>
  </si>
  <si>
    <t>prodrigues_cea</t>
  </si>
  <si>
    <t>andrenegociosbr</t>
  </si>
  <si>
    <t>mktdigital2023</t>
  </si>
  <si>
    <t>acadfinancas</t>
  </si>
  <si>
    <t>luan2523306</t>
  </si>
  <si>
    <t>infogainbrazil</t>
  </si>
  <si>
    <t>minteredu</t>
  </si>
  <si>
    <t>tradersaed</t>
  </si>
  <si>
    <t>irineubere</t>
  </si>
  <si>
    <t>leandrotst39</t>
  </si>
  <si>
    <t>cryptoportugal1</t>
  </si>
  <si>
    <t>arielyaari44402</t>
  </si>
  <si>
    <t>vendas0nline_</t>
  </si>
  <si>
    <t>luiswolftigre</t>
  </si>
  <si>
    <t>emprestimopravc</t>
  </si>
  <si>
    <t>jonasrochareal</t>
  </si>
  <si>
    <t>made_hits</t>
  </si>
  <si>
    <t>jerryfetta</t>
  </si>
  <si>
    <t>herbstflavio</t>
  </si>
  <si>
    <t>wiskton</t>
  </si>
  <si>
    <t>fernandokobuti</t>
  </si>
  <si>
    <t>newsdigital360</t>
  </si>
  <si>
    <t>vagnercutrim</t>
  </si>
  <si>
    <t>rv_rafaelvieira</t>
  </si>
  <si>
    <t>nunocostaswiss</t>
  </si>
  <si>
    <t>ilha_invest</t>
  </si>
  <si>
    <t>hilvieira</t>
  </si>
  <si>
    <t>cyaned92</t>
  </si>
  <si>
    <t>alexempreender</t>
  </si>
  <si>
    <t>helio_couto</t>
  </si>
  <si>
    <t>axcrestfall</t>
  </si>
  <si>
    <t>luxcapital_</t>
  </si>
  <si>
    <t>silvatiago87295</t>
  </si>
  <si>
    <t>mlkada_invest</t>
  </si>
  <si>
    <t>misescpitalista</t>
  </si>
  <si>
    <t>deborahtelles</t>
  </si>
  <si>
    <t>blogparaopovo</t>
  </si>
  <si>
    <t>cryptonoide_</t>
  </si>
  <si>
    <t>digitalfinace</t>
  </si>
  <si>
    <t>newtechnotopics</t>
  </si>
  <si>
    <t>leandro9marques</t>
  </si>
  <si>
    <t>beatrizvahl</t>
  </si>
  <si>
    <t>danillobiete</t>
  </si>
  <si>
    <t>milan_prosper</t>
  </si>
  <si>
    <t>sicoobcrediara</t>
  </si>
  <si>
    <t>joseanesoll</t>
  </si>
  <si>
    <t>sunonoticias</t>
  </si>
  <si>
    <t>izaias_liborio</t>
  </si>
  <si>
    <t>cammilatorres91</t>
  </si>
  <si>
    <t>papodemilhao022</t>
  </si>
  <si>
    <t>cartianuel1725</t>
  </si>
  <si>
    <t>deborarosacoach</t>
  </si>
  <si>
    <t>achadosdomark</t>
  </si>
  <si>
    <t>brunno_brss</t>
  </si>
  <si>
    <t>eduardo_mp28</t>
  </si>
  <si>
    <t>rodlrod</t>
  </si>
  <si>
    <t>sigler_marcia</t>
  </si>
  <si>
    <t>comoreinventar</t>
  </si>
  <si>
    <t>pammalpari</t>
  </si>
  <si>
    <t>juliomauriciojm</t>
  </si>
  <si>
    <t>ibrahimalireal</t>
  </si>
  <si>
    <t>eddieoz</t>
  </si>
  <si>
    <t>finvestmentor</t>
  </si>
  <si>
    <t>kevintirocerto</t>
  </si>
  <si>
    <t>wilsondesousa_</t>
  </si>
  <si>
    <t>bancoatitude</t>
  </si>
  <si>
    <t>barcecripto</t>
  </si>
  <si>
    <t>juliana_perfil_</t>
  </si>
  <si>
    <t>marcosacc27</t>
  </si>
  <si>
    <t>africano_trader</t>
  </si>
  <si>
    <t>adcamenhe</t>
  </si>
  <si>
    <t>a_donnaire</t>
  </si>
  <si>
    <t>investoom</t>
  </si>
  <si>
    <t>paladinrood</t>
  </si>
  <si>
    <t>druzi11</t>
  </si>
  <si>
    <t>antonellampaiva</t>
  </si>
  <si>
    <t>dnatalia_d</t>
  </si>
  <si>
    <t>the_nomadship</t>
  </si>
  <si>
    <t>kauedpoll</t>
  </si>
  <si>
    <t>tucoinvest</t>
  </si>
  <si>
    <t>girofinanceiro</t>
  </si>
  <si>
    <t>maisumsilva__</t>
  </si>
  <si>
    <t>moneymarkets_br</t>
  </si>
  <si>
    <t>patriciaalc0211</t>
  </si>
  <si>
    <t>lucianomathias</t>
  </si>
  <si>
    <t>pamelam72356001</t>
  </si>
  <si>
    <t>diego_motivador</t>
  </si>
  <si>
    <t>p_lucachinski</t>
  </si>
  <si>
    <t>wikifxbroficial</t>
  </si>
  <si>
    <t>japonews_eth</t>
  </si>
  <si>
    <t>davidejesuseth</t>
  </si>
  <si>
    <t>dominvestidor</t>
  </si>
  <si>
    <t>gfmillionaerin</t>
  </si>
  <si>
    <t>rebeliaocryptos</t>
  </si>
  <si>
    <t>flaviam14759869</t>
  </si>
  <si>
    <t>puneetkohli1979</t>
  </si>
  <si>
    <t>se_empreendedor</t>
  </si>
  <si>
    <t>ailtonrocha21</t>
  </si>
  <si>
    <t>joanadarcdocar1</t>
  </si>
  <si>
    <t>tradedorkpt</t>
  </si>
  <si>
    <t>7t_alex</t>
  </si>
  <si>
    <t>xzibank</t>
  </si>
  <si>
    <t>exnova_pt</t>
  </si>
  <si>
    <t>moisesliins</t>
  </si>
  <si>
    <t>santoscancio</t>
  </si>
  <si>
    <t>tainanzin___</t>
  </si>
  <si>
    <t>criptobtc_</t>
  </si>
  <si>
    <t>godisahodler</t>
  </si>
  <si>
    <t>modelodevida_</t>
  </si>
  <si>
    <t>alessan87651124</t>
  </si>
  <si>
    <t>fuvirbrasil</t>
  </si>
  <si>
    <t>henriquemg</t>
  </si>
  <si>
    <t>henrique_soussa</t>
  </si>
  <si>
    <t>cortesreiratao</t>
  </si>
  <si>
    <t>dparainvestidor</t>
  </si>
  <si>
    <t>moneyraio</t>
  </si>
  <si>
    <t>azizbasry</t>
  </si>
  <si>
    <t>roseperiodista</t>
  </si>
  <si>
    <t>ciowomenmag</t>
  </si>
  <si>
    <t>organico27643</t>
  </si>
  <si>
    <t>itaboraisantos</t>
  </si>
  <si>
    <t>blackhatpt</t>
  </si>
  <si>
    <t>tomeacao</t>
  </si>
  <si>
    <t>marcia23403</t>
  </si>
  <si>
    <t>vander74752</t>
  </si>
  <si>
    <t>leoprioficial</t>
  </si>
  <si>
    <t>dilianesilva5</t>
  </si>
  <si>
    <t>caminhodoinves1</t>
  </si>
  <si>
    <t>rvgrande</t>
  </si>
  <si>
    <t>fatos_pro</t>
  </si>
  <si>
    <t>conq_liberdade1</t>
  </si>
  <si>
    <t>mostbillion</t>
  </si>
  <si>
    <t>igor_vieiraa</t>
  </si>
  <si>
    <t>afun_to_earn</t>
  </si>
  <si>
    <t>moneeynahora</t>
  </si>
  <si>
    <t>_oiisaias</t>
  </si>
  <si>
    <t>netorebello1</t>
  </si>
  <si>
    <t>esp_de_negocios</t>
  </si>
  <si>
    <t>pawealthh</t>
  </si>
  <si>
    <t>estrang_invest</t>
  </si>
  <si>
    <t>pedromar1no</t>
  </si>
  <si>
    <t>poetisajoana</t>
  </si>
  <si>
    <t>raineliprado</t>
  </si>
  <si>
    <t>juliocrrf</t>
  </si>
  <si>
    <t>hmotivationmz</t>
  </si>
  <si>
    <t>mercadosemmedo</t>
  </si>
  <si>
    <t>paulinorsantos</t>
  </si>
  <si>
    <t>anapregis</t>
  </si>
  <si>
    <t>brunossm</t>
  </si>
  <si>
    <t>maemarketeiraa</t>
  </si>
  <si>
    <t>bitfinexpor</t>
  </si>
  <si>
    <t>leaodocarnaval</t>
  </si>
  <si>
    <t>web3pt</t>
  </si>
  <si>
    <t>galaoda13</t>
  </si>
  <si>
    <t>arthurvallephd</t>
  </si>
  <si>
    <t>carlosteles__</t>
  </si>
  <si>
    <t>cludiamarq69376</t>
  </si>
  <si>
    <t>maycomprei</t>
  </si>
  <si>
    <t>explibertario</t>
  </si>
  <si>
    <t>investfrugal</t>
  </si>
  <si>
    <t>atlanticbank_</t>
  </si>
  <si>
    <t>crisspellegrin</t>
  </si>
  <si>
    <t>neoinconstrucao</t>
  </si>
  <si>
    <t>evovee_</t>
  </si>
  <si>
    <t>rafaelamorimofc</t>
  </si>
  <si>
    <t>hailsonmkt37825</t>
  </si>
  <si>
    <t>sejabimanager</t>
  </si>
  <si>
    <t>traiderptraider</t>
  </si>
  <si>
    <t>ataorienta</t>
  </si>
  <si>
    <t>rodrigo_itaya</t>
  </si>
  <si>
    <t>r2premiumnegoci</t>
  </si>
  <si>
    <t>andradex</t>
  </si>
  <si>
    <t>brinainvest</t>
  </si>
  <si>
    <t>lucaspereira_ef</t>
  </si>
  <si>
    <t>jotavela</t>
  </si>
  <si>
    <t>mentemillionar</t>
  </si>
  <si>
    <t>iberezanski</t>
  </si>
  <si>
    <t>lucassi73345017</t>
  </si>
  <si>
    <t>wagnergeremia</t>
  </si>
  <si>
    <t>seiacoes</t>
  </si>
  <si>
    <t>linearpay</t>
  </si>
  <si>
    <t>francelmc</t>
  </si>
  <si>
    <t>palmezanip74904</t>
  </si>
  <si>
    <t>almepoupa</t>
  </si>
  <si>
    <t>murilo_business</t>
  </si>
  <si>
    <t>pense_rico</t>
  </si>
  <si>
    <t>milionaria_br</t>
  </si>
  <si>
    <t>shopforyo_u</t>
  </si>
  <si>
    <t>jvaspawn</t>
  </si>
  <si>
    <t>rauf_rafael</t>
  </si>
  <si>
    <t>abelsil83615535</t>
  </si>
  <si>
    <t>doloresampaio</t>
  </si>
  <si>
    <t>shelby_alpha__</t>
  </si>
  <si>
    <t>wcost97</t>
  </si>
  <si>
    <t>oadrielcardoso</t>
  </si>
  <si>
    <t>leocarvalho_mkt</t>
  </si>
  <si>
    <t>financer_ibraim</t>
  </si>
  <si>
    <t>ocanalinvesti</t>
  </si>
  <si>
    <t>mtrotciv</t>
  </si>
  <si>
    <t>ancapgpt</t>
  </si>
  <si>
    <t>economedicos</t>
  </si>
  <si>
    <t>heltonarcanjo2</t>
  </si>
  <si>
    <t>sageousthoughts</t>
  </si>
  <si>
    <t>investimentoob1</t>
  </si>
  <si>
    <t>bybot_roboo</t>
  </si>
  <si>
    <t>juninhobraguim</t>
  </si>
  <si>
    <t>diegoskda</t>
  </si>
  <si>
    <t>flavmartiins</t>
  </si>
  <si>
    <t>cleucianesousa</t>
  </si>
  <si>
    <t>guardardinheir1</t>
  </si>
  <si>
    <t>lucianfreirepro</t>
  </si>
  <si>
    <t>tamoneyoficial</t>
  </si>
  <si>
    <t>gptdinheiro</t>
  </si>
  <si>
    <t>suporteebook</t>
  </si>
  <si>
    <t>cartaoclonadonf</t>
  </si>
  <si>
    <t>i_monetaria</t>
  </si>
  <si>
    <t>homeprofissao</t>
  </si>
  <si>
    <t>sobre_rodrigo</t>
  </si>
  <si>
    <t>clubedericos</t>
  </si>
  <si>
    <t>grm88765974grm</t>
  </si>
  <si>
    <t>suavidadigital</t>
  </si>
  <si>
    <t>marceloadsva</t>
  </si>
  <si>
    <t>moneymentorx</t>
  </si>
  <si>
    <t>jhonys_eth</t>
  </si>
  <si>
    <t>10milionaria</t>
  </si>
  <si>
    <t>marcoskcond</t>
  </si>
  <si>
    <t>francamarcos7</t>
  </si>
  <si>
    <t>dawisonbarbosa</t>
  </si>
  <si>
    <t>beltrameotavio</t>
  </si>
  <si>
    <t>dracmatoke18647</t>
  </si>
  <si>
    <t>dinheircripto</t>
  </si>
  <si>
    <t>revistaoeste</t>
  </si>
  <si>
    <t>marcoscleberc</t>
  </si>
  <si>
    <t>micerchiari</t>
  </si>
  <si>
    <t>graphic_hood</t>
  </si>
  <si>
    <t>maniam_podcast</t>
  </si>
  <si>
    <t>aryannevictori5</t>
  </si>
  <si>
    <t>bytresloucado</t>
  </si>
  <si>
    <t>afalcao93</t>
  </si>
  <si>
    <t>rodzamppa</t>
  </si>
  <si>
    <t>greenlandd41811</t>
  </si>
  <si>
    <t>kucoinportugues</t>
  </si>
  <si>
    <t>fs_karoliny</t>
  </si>
  <si>
    <t>falabarreiras</t>
  </si>
  <si>
    <t>julionafe</t>
  </si>
  <si>
    <t>futurizando_</t>
  </si>
  <si>
    <t>elevamiami</t>
  </si>
  <si>
    <t>marcontainer</t>
  </si>
  <si>
    <t>onegotk</t>
  </si>
  <si>
    <t>descomplicaft</t>
  </si>
  <si>
    <t>eacoes</t>
  </si>
  <si>
    <t>apenasdanmendes</t>
  </si>
  <si>
    <t>seumentor</t>
  </si>
  <si>
    <t>kakoramos</t>
  </si>
  <si>
    <t>umlokd</t>
  </si>
  <si>
    <t>jovememprendedo</t>
  </si>
  <si>
    <t>caioneto2</t>
  </si>
  <si>
    <t>andyz_2023</t>
  </si>
  <si>
    <t>siacsistemas</t>
  </si>
  <si>
    <t>fetrabalho1</t>
  </si>
  <si>
    <t>keepgrowing_</t>
  </si>
  <si>
    <t>financas</t>
  </si>
  <si>
    <t>naterciamanuel1</t>
  </si>
  <si>
    <t>miguelrr_crypto</t>
  </si>
  <si>
    <t>luciane51047000</t>
  </si>
  <si>
    <t>rosangela_marq</t>
  </si>
  <si>
    <t>conciergebtc</t>
  </si>
  <si>
    <t>gustavoipadilla</t>
  </si>
  <si>
    <t>carlosraldi</t>
  </si>
  <si>
    <t>evoyconsorcios</t>
  </si>
  <si>
    <t>achadinhosdaall</t>
  </si>
  <si>
    <t>bynessantos</t>
  </si>
  <si>
    <t>afonteuniversal</t>
  </si>
  <si>
    <t>duduhrosa13</t>
  </si>
  <si>
    <t>marcos_b_39</t>
  </si>
  <si>
    <t>holistic_invest</t>
  </si>
  <si>
    <t>rafael__costa__</t>
  </si>
  <si>
    <t>bianobk1bianobk</t>
  </si>
  <si>
    <t>byebnk</t>
  </si>
  <si>
    <t>arrcanjjo</t>
  </si>
  <si>
    <t>andreynousi</t>
  </si>
  <si>
    <t>estantevirtuall</t>
  </si>
  <si>
    <t>eijhenycristina</t>
  </si>
  <si>
    <t>mestremarketlng</t>
  </si>
  <si>
    <t>romerofinancas</t>
  </si>
  <si>
    <t>senhordigitais</t>
  </si>
  <si>
    <t>portalblurbi</t>
  </si>
  <si>
    <t>luciclaudio7</t>
  </si>
  <si>
    <t>henleinvest</t>
  </si>
  <si>
    <t>takesdoferini</t>
  </si>
  <si>
    <t>stancalderelli</t>
  </si>
  <si>
    <t>rocelolopes</t>
  </si>
  <si>
    <t>youtube</t>
  </si>
  <si>
    <t>vendas</t>
  </si>
  <si>
    <t>cassius</t>
  </si>
  <si>
    <t>eduardogomesto</t>
  </si>
  <si>
    <t>felipetadewald</t>
  </si>
  <si>
    <t>parasbehl7</t>
  </si>
  <si>
    <t>pensadoroficial</t>
  </si>
  <si>
    <t>myfirstbitcoin_</t>
  </si>
  <si>
    <t>bitfinex</t>
  </si>
  <si>
    <t>meld_defi</t>
  </si>
  <si>
    <t>ligacrypto</t>
  </si>
  <si>
    <t>vectplus7</t>
  </si>
  <si>
    <t>fiis_fi</t>
  </si>
  <si>
    <t>faveladoinvest</t>
  </si>
  <si>
    <t>fellipeferini</t>
  </si>
  <si>
    <t>mente</t>
  </si>
  <si>
    <t>Replies to</t>
  </si>
  <si>
    <t>MentionsInQuote</t>
  </si>
  <si>
    <t>Quote</t>
  </si>
  <si>
    <t>Mentions</t>
  </si>
  <si>
    <t>MentionsInReplyTo</t>
  </si>
  <si>
    <t>#fy #competição #2023 #escolhas #pessoas #talentos #conquista #autoconhecimento #liberdadefinanceira #foconoobjetivo #waizer #mindset #marketingdigital #dinheiroextra https://t.co/jQXBw6NxBr</t>
  </si>
  <si>
    <t>Quer mudar de vida, empreender, ter liberdade financeira e mudar a vida das pessoas? Você pode fazer isso com pouco investimento. Venha conversar comigo.
#Empreendedorismo #LiberdadeFinanceira
#BemEstar</t>
  </si>
  <si>
    <t>Me segue para mais dicas 🙌
.
.
.
.
.
.
.
#rendaextra #ganhedinheironainternet #Twitter #prosperidade #liberdade #liberdadefinanceira https://t.co/NLTa3vvBFq</t>
  </si>
  <si>
    <t>#ProfRicardoViana #EducacaoFinanceira #FinancasPessoais #PlanejamentoFinanceiro #LiberdadeFinanceira #OrganizeSuasFinanças https://t.co/Wt5npzUBX0</t>
  </si>
  <si>
    <t>Hoje celebramos a data nacional do país. Celebre também a liberdade que a educação proporciona.
#IndependênciaDoBrasil #EducaçãoFinanceira #LiberdadeFinanceira #MatemáticaFinanceira #ProfRicardoViana https://t.co/hwGk18ZNQP</t>
  </si>
  <si>
    <t>No mundo das oportunidades, poucas coisas se comparam ao investimento mais valioso: gerenciar o próprio dinheiro. Lembre-se que não há retorno mais promissor do que entender nossas finanças.
#EducaçãoFinanceira #InvestimentoPessoal #LiberdadeFinanceira https://t.co/QR3YgyeFBp</t>
  </si>
  <si>
    <t>Have you ever wondered which is the largest company in the world?
#finance #liberdadefinanceira #personalfinance #mercadofinanceiro #finances #educacaofinanceira #independenciafinanceira #planejamentofinanceiro #refinance #sucessofinanceiro #financeiro #financetips https://t.co/hGSQPYyvJD</t>
  </si>
  <si>
    <t>Taesa sua linda 🙅🏻‍♂️🙌🏼
Quem estava esperando dividendos em Janeiro?  😂
#taesa #b3 #investir
#educaçãofinanceira #liberdadefinanceira #baixadasantista
#finanças
#dinheiro
#economia
#dividendos
#viverderenda
#ações
#Investimentos
#mulheresnabolsa
#praiagrandesp https://t.co/98UfxvsNsY</t>
  </si>
  <si>
    <t>Really Help Full 🌝
#finance #liberdadefinanceira #personalfinance #mercadofinanceiro #finances #educacaofinanceira #independenciafinanceira #planejamentofinanceiro #refinance #sucessofinanceiro #financeiro #financetips #inteligenciafinanceira #gestaofinanceira #carfinance https://t.co/DsLTdwcNj1</t>
  </si>
  <si>
    <t>Você têm dificuldades em fechar no azul o financeiro da sua empresa todo mês? 
Ja ouviu falar sobre terceirizar esse servico? 
Eu posso te ajudar, me pergunte como.. 
#bpofinanceiro 
#financeiro 
#liberdadefinanceira https://t.co/MTETVJvfZa</t>
  </si>
  <si>
    <t>¿Cómo cambiaría el PIB total del BRICS si los países candidatos se unieran a la organización?
#BRICS #produc #Economia #noticias #promo #éxito #argentina #coronavirus #pol #tica #marketingdigital #empresas #liberdadefinanceira #finanzas https://t.co/oYxe2bQSB5</t>
  </si>
  <si>
    <t>#webitcoin
#BitcoinInvestment #RobertKiyosaki #PaiRicoPaiPobre #Independênciafinanceira  #InvistaemPrata #InvistaemOuro #InvistaemBitcoin #InteligênciaFinanceira #MenteMilionária #Dicadeinvestimento #OpçõesdeInvestimento #Liberdadefinanceira #ProtejaSeuFuturo #Segurançafinanceira</t>
  </si>
  <si>
    <t>Wednesday, 28 June
Excellent work, how we started the week
Accomplished goals
Time to clear the mind off the monitors 
#goptionbrasil #binaryoptions #maedesucesso #rendaextra 
#bitcoin #Binance #mercadofinanceiro
#forex #trader #lifestyle #liberdadefinanceira
#investing https://t.co/uQ39WlOdHx</t>
  </si>
  <si>
    <t>Isso mudou minha vida!!
https://t.co/EjLEPqMks1
#Ads #liberdadefinanceira #renda https://t.co/n0Oi5HyAHd</t>
  </si>
  <si>
    <t>As 5 principais dicas para você ganhar dinheiro todos os dias ! Que tal ganhar R$400,00 todos os dias ? Com apenas alguns segundos do seu tempo você pode faturar e muito !! 
#dinheiro 
#rendaextra 
#liberdadefinanceira https://t.co/CclJV57t2Z</t>
  </si>
  <si>
    <t>Junte-se a mim nessa busca pela independência financeira e vamos alcançar nossos objetivos juntos! 💪
https://t.co/q6tzQ1yvfn
#LiberdadeFinanceira #TrabalhoComOCelular #SucessoFinanceiro #MarketingDigital #EmpreendedorismoDigital https://t.co/rID7Z6iWsc</t>
  </si>
  <si>
    <t>🚴♂Você aprendeu andar de bicicleta lendo um manual?
👇Clique no link e descubra a conquista da sua liberdade financeira👇
https://t.co/CUqQeB7NOa
#investimentos #educaçãofinanceira #melhoresinvestimentos #liberdadefinanceira #independenciafinanceira #mentoria https://t.co/8a3bXU62Nl</t>
  </si>
  <si>
    <t>Né? 
NÃO É SOBRE SER RICO OU SER MILIONÁRIO! 
NÃO É SOBRE DINHEIRO,
É SOBRE LIBERDADE 
Link na Bio
#AcademiaDoDinheiro #investir #b3 #ações #fii #LiberdadeFinanceira #educaçãofinanceira #aposentadoria #mepoupe #primorico #rendaextra
https://t.co/ujih2aDAde</t>
  </si>
  <si>
    <t>Link do investimento será enviado somente a quem é seguidor da página. Por favor não insista.
ATENÇÃO a garantia do FGC é limitada a 250 mil por CPF. 
#AcademiaDoDinheiro #investir #b3 #ações #fii #LiberdadeFinanceira 
https://t.co/tTyTJG3joZ</t>
  </si>
  <si>
    <t>A e-loan Soluções Financeiras deseja a todos um feliz 25 de abril.
Conheça melhor as nossas soluções e encontre a liberdade financeira com que sempre sonhou » https://t.co/b2af3qJ1Jk
#25deabril #diadaliberdade #liberdadefinanceira #eloanpt #portugal #pacodearcos #lisboapt https://t.co/tMRBqXvI1H</t>
  </si>
  <si>
    <t>Você quer ficar na base ou vai fazer oque precisa ser feito ✔️ 
#feliz #brasil🇧🇷 #rendaextra 
#liberdadefinanceira #salário https://t.co/iHezNBZYH8</t>
  </si>
  <si>
    <t>Veja! a hipocrisia da esquerda 
#ptnuncamais #esquerdanão #deus #patria #familia #liberdadefinanceira https://t.co/Ve9Z6nG9KD</t>
  </si>
  <si>
    <t>Sabemos que é difícil sair do endividamento sozinho(a), mas o que você não sabe é…
Que nós somos a melhor alternativa.
Entendendo suas dificuldades, conhecendo as melhores soluções e conectando uma a outra.
#liberdadefinanceira #dividasbancarias #jurosabusivos
Fale conosco! https://t.co/G1Fwg3HYfH</t>
  </si>
  <si>
    <t>Você desconfia sofrer com juros abusivos mas não sabe o que é? Quer saber como evitar esse juros? Vamos te contar como…
Leia as imagens acima!
E fale com a gente 🤝
#liberdadefinanceira #jurosabusivos #JurosBaixosJá #dividasnuncamais https://t.co/zCWpiVXC8B</t>
  </si>
  <si>
    <t>Viver com medo de ter o veículo apreendido é uma realidade estressante é preocupante para muitos brasileiros.
Ter o atendimento e condução experiente nessa área poderá fornecer informações precisas sobre seus direitos.
#buscaeapreensão #jurosabusivos #liberdadefinanceira https://t.co/pGnKZ5klH3</t>
  </si>
  <si>
    <t>📌 Atente-se ao seu CONTRATO!
Apesar de parecer simples, uma análise contratual vai muito além de uma leitura. Esta ação deve ser feita por um especialista no assunto, alguém que entenda as letras pequenas e os detalhes que passam despercebidos. 🤝
#liberdadefinanceira https://t.co/x0B8Otcsch</t>
  </si>
  <si>
    <t>Link na bio
#giangarcia #liberdadefinanceira #homeoffice #rendaextraemcasa #rendaextra💰
https://t.co/hffcZ2ERu8</t>
  </si>
  <si>
    <t>Alcance sua liberdade financeira! Invista com sabedoria, faça seu dinheiro crescer e atinja metas de longo prazo. Aprenda sobre investimentos e garanta seu futuro! #Investimentos #LiberdadeFinanceira #AquaInvest 💰💪🚀 https://t.co/On7RNklhWR</t>
  </si>
  <si>
    <t>🌟 Acorde e sinta a fortuna! 😮💰 O #Bitcoin acaba de disparar para 1 milhão de dólares! 🚀📈
🛍️ Mas espere... Qual é a PRIMEIRA coisa que você gastaria sem pensar? 🤔
🌟 Compartilhe seus sonhos impulsionados por criptomoedas!✨
#CriptoMilionário #AtéALua #LiberdadeFinanceira https://t.co/HzMxCMpIF8</t>
  </si>
  <si>
    <t>Nunca se esqueçam, compre ao som dos tambores e venda ao som das flautas. 
#btc
#Web3 
#riqueza
#liberdadefinanceira</t>
  </si>
  <si>
    <t>Liberte-se das dívidas! Nosso novo eBook "Como Sair das Dívidas" tem estratégias comprovadas para ajudá-lo. Adquira agora e recupere o controle financeiro!
https://t.co/aWAnBnMqri
 #finanças #dívida #liberdadefinanceira</t>
  </si>
  <si>
    <t>Liberdade financeira é ter autonomia para ser quem você quiser, ir onde quiser e fazer o que quiser. #liberdadefinanceira #sucesso #prosperidade</t>
  </si>
  <si>
    <t>Começando do Zero: Descubra Como Iniciar sua Jornada Financeira de Investimentos 
https://t.co/Vw4W5cN9RB
#Diversificação #Estratégia #liberdadefinanceira #reservadeemergência https://t.co/MXrTCWPU7k</t>
  </si>
  <si>
    <t>O dinheiro não compra felicidade, mas pode proporcionar liberdade e tranquilidade. 💸😊 #Motivação #Felicidade #LiberdadeFinanceira</t>
  </si>
  <si>
    <t>Como a máxima que nos diz: o mundo pode ser tão grande quanto você quiser que ele seja!
Me conta, quais roteiros no mundo me recomendaria?  E por que ? 
#travel #trip #viagem #liberdadefinanceira #empreendedorismo #mentoriadecarreira https://t.co/LvDyFPAS4h</t>
  </si>
  <si>
    <t>Invista em você e em seu futuro! Quer se trate de ações, imóveis ou de sua educação, faça investimentos inteligentes que compensarão a longo prazo. Não espere, comece hoje! #investmenttips #liberdadefinanceira</t>
  </si>
  <si>
    <t>@StanCalderelli Kudos a essa moça! É incrível como ela entendeu que Bitcoin é dinheiro legítimo e que ela é dona de suas próprias escolhas. É ótimo ver que ela não se deixou intimidar pelos haters. #Bitcoin #LiberdadeFinanceira</t>
  </si>
  <si>
    <t>Você já parou para pensar no poder transformador da Internet em sua vida? Imagine ter em suas mãos a chave para desbloquear um mundo de oportunidades e potencializar seus resultados. 
Fale comigo via WhatsApp e Sabia mais: https://t.co/cerv0l8PoY
#sucesso #liberdadefinanceira</t>
  </si>
  <si>
    <t>@RoceloLopes, é um dos empresários que alinhados com a ideia de #liberdadefinanceira, dá a oportunidade de bancarização de qualquer brasileiro ou estrangeiro residente no Brasil. Tenho orgulho em trabalhar próximo e assistir o desenvolvimento das soluções da SmartPay</t>
  </si>
  <si>
    <t>Uma milionária a mais! 💸⚡️🦅
#empreendedorismo #negocios #sucesso #dinheiro #investimentos #finanças #riqueza #negociosonline #liberdadefinanceira #mindsetmilionario https://t.co/8E0G9XQkQs</t>
  </si>
  <si>
    <t>#liberdadefinanceira 
#rendavariavel #rendapassiva 
#educacaofinanceira #investimento
#independênnciafinanceira #economia #criptomoedas #motivação #atualidades  #desenvolvimentopessoal
#desenvolvimentoprofissional
#empreendedorismo 
#utilidadepública #curiosidades #reels #viral https://t.co/W252zk4SeX</t>
  </si>
  <si>
    <t>🚴♂Você aprendeu andar de bicicleta lendo um manual?
👇Clique no link e descubra a conquista da sua liberdade financeira👇
https://t.co/6Z42ZQptAJ
#investimentos #educaçãofinanceira #melhoresinvestimentos #liberdadefinanceira #independenciafinanceira #mentoria https://t.co/poaOJFDS0s</t>
  </si>
  <si>
    <t>A mudança financeira que você procura está dentro de você e a gente sabe como te ajudar a alcançar! ⤵️
Venha ser streamer do app #Iwee!🚀
Informações: https://t.co/fhuJQiyBLz
#homeoffice #liberdadefinanceira #liberdadegeografica #streamer #yaar #livu #fancyme #modelo #atriz https://t.co/59KkQkw7O8</t>
  </si>
  <si>
    <t>Masterclass GRATUITA e ONLINE: 🔥 Descubra como ficar rico ainda este ano e desbloquear sua Liberdade Financeira de uma vez por todas!
👉 Clique neste link para se inscrever: https://t.co/BsTAWc3OMZ
#finançaspessoais #liberdadefinanceira #dicasfinanceiras #educaçãofinanceira https://t.co/o4RRZt2JCu</t>
  </si>
  <si>
    <t>Atitudes que prejudicam suas finanças e que você deve evitar!
#educaçãofinanceira #financaspessoais #planejamentofinanceiro #financas #liberdadefinanceira #habitos #mentemilionaria #independenciafinanceira https://t.co/TFIWMflrLI</t>
  </si>
  <si>
    <t>6 Lições do Livro: Pai Rico, Pai Pobre
#pairicopaipobre #dicadeleitura #finançaspessoais #educaçãofinanceira #investimentos #finanças #economizar #dinheiro #planejamentofinanceiro #liberdadefinanceira #inteligenciafinanceira #empreendedorismo #ganhardinheiro #sucessofinanceiro https://t.co/zwi1VxUpLC</t>
  </si>
  <si>
    <t>🔥 Masterclass GRATUITA e ONLINE: Descubra como desbloquear sua Liberdade Financeira de uma vez por todas!
👉 Clique aqui: https://t.co/BsTAWc4mCx
#independenciafinanceira #financaspessoais #investimento #liberdadefinanceira #educacaofinanceira #financas https://t.co/wjlLNTZiu7</t>
  </si>
  <si>
    <t>Masterclass GRATUITA e ONLINE:🔥 Descubra como ficar rico ainda este ano!
👉 Clique neste link para se inscrever: https://t.co/AoD5uNcHZl
#finançaspessoais #financas #liberdadefinanceira #educacaofinanceira #independenciafinanceira https://t.co/JejgIlqvlF</t>
  </si>
  <si>
    <t>Aprenda Passo a Passo como Investir p/ Conquistar sua Liberdade Financeira: https://t.co/AxO1p6Rlcw 
#mercadofinanceiro #finanças #investimentos #investir #comoinvestir #educaçãofinanceira #financas #liberdadefinanceira https://t.co/FkCiVbIxN1</t>
  </si>
  <si>
    <t>💰 Descubra como desbloquear sua Liberdade Financeira de uma vez por todas!
Clique no Link: https://t.co/oLSZrd3qK1
#finanças #educaçãofinanceira #investimento #comoinvestir #tesourodireto #poupança #renda #economizar #liberdadefinanceira https://t.co/DjzN8PWGJz</t>
  </si>
  <si>
    <t>💰 Descubra como desbloquear sua Liberdade Financeira de uma vez por todas: https://t.co/AxO1p6Rlcw
#poupar #economizar #investir #educaçãofinanceira #finançaspessoais #liberdadefinanceira https://t.co/k8jkbULCnM</t>
  </si>
  <si>
    <t>Aprenda Passo a Passo como Investir p/ Conquistar sua Liberdade Financeira: https://t.co/AxO1p6Rlcw 
#dividendos #rendimentos #rendapassiva #mercadodeações #rendavariavel #investimentos #bolsadevalores #investir #finanças #viverderenda 
#liberdadefinanceira #ganhardinheiro https://t.co/iOwTTdlaX0</t>
  </si>
  <si>
    <t>Descubra como desbloquear sua Liberdade Financeira de uma vez por todas: https://t.co/AxO1p6Rlcw
#tesourodireto #poupança #rendafixa #investimento #economizar #financas #educacaofinanceira #liberdadefinanceira #independenciafinanceira https://t.co/KJzdM82oFU</t>
  </si>
  <si>
    <t>Descubra como desbloquear sua Liberdade Financeira de uma vez por todas:
https://t.co/i8OqlzIZmx
#finanças #educaçãofinanceira #investimento #comoinvestir #tesourodireto #poupança #renda #investir #liberdadefinanceira https://t.co/PN34SYeqJY</t>
  </si>
  <si>
    <t>🔥 PROMOÇÃO CURSO SEGREDOS DOS INVESTIMENTOS PARA INICIANTES🔥 https://t.co/Bi0RwAbgpo 
#investimentos #educacaofinanceira #independenciafinanceira #finançaspessoais #finanças #liberdadefinanceira #riqueza #mentemilionaria #renda #dicasfinanceiras #ganhardinheiro  #economizar https://t.co/A0bMzDtxgf</t>
  </si>
  <si>
    <t>🔥 PROMOÇÃO EXCLUSIVA 🔥
Clique neste Link  e aproveite para Garantir o Curso com um SUPER DESCONTO: https://t.co/Bi0RwAaIzQ
#financas #planejamentofinanceiro #independenciafinanceira #financaspessoais #investimento #liberdadefinanceira #educacaofinanceira https://t.co/pzWldZGeqB</t>
  </si>
  <si>
    <t>6 Motivos para Sair da Poupança
#poupança #poupar #economizar #finançaspessoais #educaçãofinanceira #investimentos #finanças #planejamentofinanceiro #liberdadefinanceira https://t.co/5ZlWFIgLO5</t>
  </si>
  <si>
    <t>🔥PROMOÇÃO: Descubra como desbloquear sua Liberdade Financeira de uma vez por todas:
https://t.co/Bi0RwAaIzQ
#comoinvestir #investimento #financas #planejamentofinanceiro #ganhardinheiro #independenciafinanceira #liberdadefinanceira #educaçãofinanceira https://t.co/qQOiGt62hf</t>
  </si>
  <si>
    <t>🔥PROMOÇÃO: Descubra como desbloquear sua Liberdade Financeira de uma vez por todas:
https://t.co/Bi0RwAbgpo
#investimento #agronegocio #bolsadevalores #finanças #educaçãofinanceira #comoinvestir #renda #investir #liberdadefinanceira https://t.co/K22T2HH3xR</t>
  </si>
  <si>
    <t>ENTENDA POR QUE USO UM RELÓGIO DE 80 MIL REAIS!
#milionário #liberdadefinanceira #rico #negao #rolex #raiamsantos #morarfora #nomade #nomademilionario #nomadedigital #relogio #relogios #viajar #marketingdigital #mindset https://t.co/DvTaEPtwGI</t>
  </si>
  <si>
    <t>📢📢 ATENÇÃO TUTELA ANTECIPADA CONCEDIDA,IMÒVEL BANCO BRADESCO. 
Correção das parcelas 😍😍 vamos pagar o justo vamos ?
#diganaoaojurosabusivos
#liberdadefinanceira
#Defendaseusdireitos
#Codigodedefesadoconsumidor https://t.co/RCzMRNfwL4</t>
  </si>
  <si>
    <t>Meta agora é garantir a liberdade financeira... E vocês?
#liberdadefinanceira 
#Finance 
#renda 
#investing #investment</t>
  </si>
  <si>
    <t>Descubra o segredo dos negócios online de sucesso! Alcance liberdade financeira e conquiste seus sonhos através do empreendedorismo digital.
🎦 https://t.co/yGy0tqCmKY
 #NegóciosOnline #SucessoDigital #Empreendedorismo #LiberdadeFinanceira" https://t.co/nbFIh9hleg</t>
  </si>
  <si>
    <t>Se vc não tem e não está montando sua reserva de emergência, você abrindo as portas para a destruição do seu patrimônio… acredito a uma grande chance disso..
#reservadeemergencia #liberdadefinanceira #rendafixa https://t.co/0KwSy7D1Fx https://t.co/jkV3qbr1zX</t>
  </si>
  <si>
    <t>Siga em frente, sua hora vai chegar!!!!!🚀
#crescimento #produtividade #estrategiademarketing #midiasdigitais #negociodigital #marketingdeafiliados #trabalhoemcasa #liberdadefinanceira #empreendendorismosocial #networking https://t.co/eo2vEFUp7X</t>
  </si>
  <si>
    <t>Revelações sobre investimentos 
#investimentos #ganhardinheiro #liberdadefinanceira https://t.co/g4ke1vKhag</t>
  </si>
  <si>
    <t>Aportes constantes e foco no longo prazo levam a tão sonhada liberdade financeira.
#acoes #fundosimobiliarios #bolsadevalores #longoprazo #liberdadefinanceira</t>
  </si>
  <si>
    <t>Impostos justos significam mais liberdade financeira para todos. Uma carga tributária equilibrada promove a capacidade das pessoas de fazerem escolhas sobre como gastar, investir e planejar seu futuro. Menos impostos, mais liberdade! 📊💹 #LiberdadeFinanceira #Escolhas</t>
  </si>
  <si>
    <t>#financaspessoais #pagarteprimeiro #liberdadefinanceira #financas #Independenciafinanceira</t>
  </si>
  <si>
    <t>Aprenda como GANHAR BITCOIN TODO DIA.
➡️ https://t.co/Z2YKB4umg8
📲 +5551981708833 
🔗 https://t.co/LSwvHkGumE
- - -
#Ethereum #Bitcoin #Zenit #WeweGlobal #Criptomoeda #CloudMinting #DeFi #ICO #DAO #LiberdadeFinanceira #Multinivel #LifeStyle #JulioNafe #MudançaDeVida https://t.co/fK7hZgFWxW</t>
  </si>
  <si>
    <t>Dracma token lançamento 
#Dracma #token #LIBERDADEFINANCEIRA #CRIPTOMOEDA https://t.co/o3RLpGvieL</t>
  </si>
  <si>
    <t>DRACMA TOKEN
#DRACMA #TOKEN #LIBERDADEFINANCEIRA 
#CRIPTOMOEDA https://t.co/NpwiHcScw7</t>
  </si>
  <si>
    <t>Dracma token
#Dracma #token #liberdadefinanceira #criptomoeda https://t.co/TuxOzksY3W</t>
  </si>
  <si>
    <t>🌟 Descubra o segredo da Liberdade Financeira e Liberte-se do DESGOVERNO! 💼💰 Você tem o poder de transformar sua vida. Não é apenas economizar, é investir inteligentemente e conquistar o que sempre desejou. 💪✨ #LiberdadeFinanceira #InvistaNoSeuFuturo 🚀🔑</t>
  </si>
  <si>
    <t>Quanto antes você começar a investir, mais rápido você verá o poder da educação financeira e dos juros compostos na sua via. 
#apenascomece #liberdadefinanceira</t>
  </si>
  <si>
    <t>A liberdade financeira não é apenas sobre ter dinheiro suficiente para pagar suas contas. É sobre ter as ferramentas para fazer escolhas baseadas em suas paixões e não em suas necessidades. #liberdadefinanceira #paixoes</t>
  </si>
  <si>
    <t>🌅🏖️🌴💰🚀 Alcançar a liberdade financeira é o sonho de todos! Com comprometimento e orientação adequada, você pode chegar lá! #liberdadefinanceira 💸💪</t>
  </si>
  <si>
    <t>A independência financeira não é sobre ficar rico, é sobre ter segurança financeira e a liberdade de fazer escolhas baseadas em suas paixões e não em suas necessidades. #liberdadefinanceira #paixoes</t>
  </si>
  <si>
    <t>A liberdade financeira significa ter a liberdade de escolher quando e como você trabalha. Trabalhe duro agora para alcançar essa liberdade no futuro. #trabalhoduro #liberdadefinanceira</t>
  </si>
  <si>
    <t>Pague suas dívidas o mais rápido possível. A liberdade financeira começa com a liberdade da dívida. #Dívidas #LiberdadeFinanceira</t>
  </si>
  <si>
    <t>💰Para alcançar a liberdade financeira:
1️⃣ Planeje metas e orçamento. 2️⃣ Invista em conhecimento. 3️⃣ Seja persistente e disciplinado.
💪💼 Com esses comportamentos, você alcançará a liberdade financeira. Vamos rumo ao sucesso! #LiberdadeFinanceira #Planejamento #Investimentos</t>
  </si>
  <si>
    <t>Fim de semana chegou!!! Melhor ainda é curtir e ainda por cima recebendo em dólares na sua conta, e sabe como fazer isso? Isso eu apresento para você no link do perfil, garanto que vc nunca viu igual, confere lá!!!
#DolarEuro 
#MarketingDigital 
#liberdadefinanceira 
#rendaextra</t>
  </si>
  <si>
    <t>O que esta esperando para começar sua liberdade financeira? trabalhar no conforto da sua casa e ganhar em dólar. Acesse https://t.co/W2FzIxY1lU para mais informações. 
#dólar 
#treinamento
#sucesso
#rendaextra
#liberdadefinanceira
#homeoffice
#trabalhoemcasa
#MarketingDigital https://t.co/enOsoLce15</t>
  </si>
  <si>
    <t>“A educação formal vai fazer você ganhar a vida. A autoeducação vai fazer você alcançar uma fortuna.” – Jim Rohn
#DolarEuro
#rendaextra
#liberdadefinanceira</t>
  </si>
  <si>
    <t>Um dos nossos professores já deu a dica, e ai vai vir fazer parte? Acesse https://t.co/W2FzIxYzbs e veja toda a estrutura para você mudar sua vida. 🤩🚀🚀
#DolarBlue 
#Dolar
#RendaExtra 
#tralhaemcasa
#Oportunidade
#dinheiro 
#treinamento
#trabalhoonline
#liberdadefinanceira https://t.co/lS669wOdgQ</t>
  </si>
  <si>
    <t>5 lições sobre dinheiro que os pais precisam ensinar aos filhos:
1. como fazer um orçamento
2. como economizar
3. como ganhar dinheiro
4. como investir
5. como ser generoso e ajudar quem precisa
#investidorinteligente #liberdadefinanceira</t>
  </si>
  <si>
    <t>Cria hábitos positivos relativamente ao dinheiro 🙌
👉🏻Segue @acadfinancas
#investidorinteligente #liberdadefinanceira https://t.co/nfqXf9k9ea</t>
  </si>
  <si>
    <t>"Quer conquistar a sonhada liberdade financeira? 💸💪 Descubra os passos para alcançar a independência financeira e viver a vida dos seus sonhos! 🌟✨ #LiberdadeFinanceira #Independência #VidaDosSonhos #ConquisteSeusObjetivos"
https://t.co/ZMRPIOdP8I</t>
  </si>
  <si>
    <t>As criptomoedas revolucionaram a forma como entendemos o dinheiro e o investimento. Com a descentralização e a segurança da tecnologia blockchain... acesse para ler a matéria completa  https://t.co/bGpx6LewFR
#Criptomoedas #Bitcoin #LiberdadeFinanceira #infogain https://t.co/K1ve4ARywe</t>
  </si>
  <si>
    <t>Um guia prático para colocar suas finanças em ordem e alcançar seus objetivos.
Aproveita para seguir a gente e ajudar alguém encaminhando esse conteúdo.
➡ @minteredu 
#finanças #educaçãofinanceira #finançaspessoais #planejamentofinanceiro #vidafinanceira #liberdadefinanceira https://t.co/GfanUUHdHF</t>
  </si>
  <si>
    <t>Organizar-se financeiramente pode parecer difícil, mas com as estratégias certas, é possível ter uma vida financeira melhor
➡ @minteredu 
#finanças #educaçãofinanceira #finançaspessoais #investimentos #planejamentofinanceiro #vidafinanceira #dinheiro #liberdadefinanceira https://t.co/nstiMyHpxg</t>
  </si>
  <si>
    <t>#ganhardinheiro
#investimentos
#trading
#finanças
#empreendedorismo
#negócios
#marketingdigital
#rendaextra
#dinheiro
#sucesso
#liberdadefinanceira
#foco
#motivação
#economia
#investir
#oportunidades
#trabalharemcasa
#dinheiroextra
#independenciafinanceira
#educacaofinanceira https://t.co/tshnZVARFm</t>
  </si>
  <si>
    <t>👣 Você já definiu o caminho que te leva à liberdade financeira?
#liberdadefinanceira #caminhos #financaspessoais
https://t.co/XHTnLS2fRP</t>
  </si>
  <si>
    <t>Aprenda a ser um empreendedor digital!!  acesse e saiba mais👇
https://t.co/PDtnLQnaMN
#marketingdigital #liberdadefinanceira #frasesinspiradoras #frasesmotivacionais #frasesdiarias #mentemilionaria #mentedesucesso #motivação #motivacional #fé #ambicaomilionaria https://t.co/x5bB58Ix3o</t>
  </si>
  <si>
    <t>Use a Internet para ganhar dinheiro!  Conheça 👇
https://t.co/PDtnLQnaMN
#marketingdigital #liberdadefinanceira #frasesinspiradoras #frasesmotivacionais #frasesdiarias #mentemilionaria #mentedesucesso #motivação #motivacional #fé #ambicaomilionaria #viral #empreendedorismo https://t.co/kDdk2AaPJK</t>
  </si>
  <si>
    <t>7/7 🚀 Agora, a escolha é sua: continuar na "via lenta" ou seguir a Via Para a Prosperidade? A decisão é sua. #liberdadefinanceira #prosperidade #riqueza
SÉRIE A SEGUIR "A Via Para a Prosperidade"</t>
  </si>
  <si>
    <t>1/7 🚀 Prepare-se para descobrir uma rota secreta para a #riqueza e a #liberdadefinanceira, um atalho fascinante para a abundância na juventude, sem esperar a velhice. Descubra este atalho escondido! THREAD 🧵⤵️ https://t.co/JFW5eJU3uD</t>
  </si>
  <si>
    <t>Wednesday, 28 June
Excellent work, how we started the week
Accomplished goals
Time to clear the mind off the monitors 
#goptionbrasil #binaryoptions #maedesucesso #rendaextra 
#bitcoin #Binance    #mercadofinanceiro
#forex #trader #lifestyle #liberdadefinanceira
#investing https://t.co/TsIhSOuqNe</t>
  </si>
  <si>
    <t>Você quer ser seu próprio chefe e trabalhar pela internet ? Comente aqui "EU QUERO" 
📲 Link da bio curso “Faça sua primeira venda em 24hrs” 
#cursosonline #cursosbaratos #mktdigital #eduzz #vendas #money #afiliados #vendasonline #sucessofinanceiro #liberdadefinanceira</t>
  </si>
  <si>
    <t>🚀Tudo isso eu consegui através do através do 💸marketing digital! 
Você quer ser seu próprio chefe e trabalhar pela internet onde e quando quiser ? 
📱Clica no link da bio e Saiba mais!
#cursosonline #mktdigital  #eduzz #vendas #afiliados #vendasonline #liberdadefinanceira https://t.co/emwrTkKZJP</t>
  </si>
  <si>
    <t>Marketing digital! #Marketingdigital #motivacao #dinheiro #liberdadefinanceira #marketing https://t.co/VNv4DEAdw4</t>
  </si>
  <si>
    <t>MARKETING DIGITAL!💥 
#marketingdigital #markting #dinheiro #mudedevida #liberdadefinanceira https://t.co/C1MRMlK2cf</t>
  </si>
  <si>
    <t>Mude de vida em 2023! 
#MarketingDigital #Marketing #dinheiro #frasesmotivadoras #Motivation #motivação #milionário #liberdadefinanceira https://t.co/KlKNFHlEAJ</t>
  </si>
  <si>
    <t>Mude de vida!
#marketingdigital #marketing #dinheiro #liberdadefinanceira #Motivation #motivação https://t.co/0QAMbOf25k</t>
  </si>
  <si>
    <t>Aprenda a ficar rico!
#MarketingDigital #Marketing #dinheiro #motivação #liberdadefinanceira #milionário https://t.co/Ge687TrCOm</t>
  </si>
  <si>
    <t>Aprenda a ficar rico em 2023!
#MarketingDigital #marketing #dinheiro #Motivacion #liberdadefinanceira #inspiration https://t.co/JkhiioQzhT</t>
  </si>
  <si>
    <t>Fique rico ainda em 2023!
#MarketingDigital #Marketing #liberdadefinanceira #dinheiro #Motivation #motivação https://t.co/63FZ1VKzDK</t>
  </si>
  <si>
    <t>Insista! #MarketingDigital #dinheiro #motivação #liberdadefinanceira #edit https://t.co/Ph6n75DmW7</t>
  </si>
  <si>
    <t>Fuja da matrix! #MarketingDigital #dinheiro #motivação #liberdadefinanceira #edit https://t.co/wLsNgDB6ql</t>
  </si>
  <si>
    <t>Acredite em si mesmo! #marketingdigital #dinheiro #motivação #liberdadefinanceira #edit https://t.co/tIaspuCb05</t>
  </si>
  <si>
    <t>Insista! #MarketingDigital #dinheiro #motivação #liberdadefinanceira #edit https://t.co/U6rTi1NgEd</t>
  </si>
  <si>
    <t>Nunca desista! #MarketingDigital #dinheiro #motivação #liberdadefinanceira #edit https://t.co/Gjl04XlbkA</t>
  </si>
  <si>
    <t>Mantenha o foco! #MarketingDigital #dinheiro #motivação #liberdadefinanceira #edit https://t.co/oHZU4ksY4m</t>
  </si>
  <si>
    <t>Insista! #MarketingDigital #dinheiro #liberdadefinanceira #motivação #edit https://t.co/czNP3jDDHD</t>
  </si>
  <si>
    <t>Futuro! #MarketingDigital #dinheiro #motivação #liberdadefinanceira #edit https://t.co/nE7BKX8CQV</t>
  </si>
  <si>
    <t>Tenha persistência! #MarketingDigital #dinheiro #motivação #liberdadefinanceira #edit https://t.co/2CUVd1Laju</t>
  </si>
  <si>
    <t>Nunca desista! #MarketingDigital #dinheiro #motivação #liberdadefinanceira #edit https://t.co/ECM85Cr3bL</t>
  </si>
  <si>
    <t>Siga seus sonhos! #MarketingDigital #dinheiro #motivação #liberdadefinanceira #edit https://t.co/4pwZfx2gPw</t>
  </si>
  <si>
    <t>Futuro próximo! #MarketingDigital #dinheiro #motivação #liberdadefinanceira #edits https://t.co/bo9Rg9TIYx</t>
  </si>
  <si>
    <t>Milionário! #MarketingDigital #dinheiro #motivação #liberdadefinanceira #edit https://t.co/9O2OxYxUfO</t>
  </si>
  <si>
    <t>Aprenda a ficar rico! #MarketingDigital #dinheiro #motivação #liberdadefinanceira #edit https://t.co/InZDKW36Nm</t>
  </si>
  <si>
    <t>Futuro! #MarketingDigital #dinheiro #motivação #liberdadefinanceira #edit https://t.co/Emlrsmq2Ft</t>
  </si>
  <si>
    <t>Tenha sucesso na vida! #MarketingDigital #dinheiro #motivação #liberdadefinanceira #edit https://t.co/JCZaa2SJed</t>
  </si>
  <si>
    <t>Futuro! #MarketingDigital #dinheiro #motivação #liberdadefinanceira #edit https://t.co/WhPWo2d4RF</t>
  </si>
  <si>
    <t>Tenha um futuro milionário! #MarketingDigital #dinheiro #motivação #liberdadefinanceira #edit https://t.co/E4bAlriTYm</t>
  </si>
  <si>
    <t>Alcançe sua meta! 
#MarketingDigital #motivação #dinheiro #liberdadefinanceira #rico https://t.co/4iGBwJsiWo</t>
  </si>
  <si>
    <t>Luxúria! #MarketingDigital #dinheiro #motivação #liberdadefinanceira #edit https://t.co/wX5JOsahEW</t>
  </si>
  <si>
    <t>Corra atrás!!!! #MarketingDigital #dinheiro #Motivation #liberdadefinanceira #edit https://t.co/lUrjfHZKkZ</t>
  </si>
  <si>
    <t>Está esperando o que? #MarketingDigital #dinheiro #motivação #liberdadefinanceira #edit https://t.co/fhUgJnxyHQ</t>
  </si>
  <si>
    <t>Insista! #MarketingDigital #dinheiro #motivação #liberdadefinanceira #futuro https://t.co/eRyhry6fiI</t>
  </si>
  <si>
    <t>🤑 #MarketingDigital #dinheiro #motivação #liberdadefinanceira #futuro https://t.co/C5nR5bJ6UE</t>
  </si>
  <si>
    <t>Não desista! #MarketingDigital #dinheiro #motivação #liberdadefinanceira #edit https://t.co/tk4KcoKcrx</t>
  </si>
  <si>
    <t>Insista! #MarketingDigital #dinheiro #motivação #liberdadefinanceira #edit https://t.co/bgI6abw02P</t>
  </si>
  <si>
    <t>Fuja da matrix! #MarketingDigital #dinheiro #motivação #liberdadefinanceira #edit https://t.co/poUVOmrXnk</t>
  </si>
  <si>
    <t>Insista! #MarketingDigital #dinheiro #motivação #liberdadefinanceira #edit https://t.co/yiZCob1f4L</t>
  </si>
  <si>
    <t>Não tenha medo! #MarketingDigital #dinheiro #motivação #liberdadefinanceira #edit https://t.co/qOHt9Lcm7t</t>
  </si>
  <si>
    <t>Não desista! #MarketingDigital #dinheiro #motivação #liberdadefinanceira #edit https://t.co/aXgS3l4s3h</t>
  </si>
  <si>
    <t>Insista! #MarketingDigital #dinheiro #motivação #liberdadefinanceira #edit https://t.co/7qyJJ49a42</t>
  </si>
  <si>
    <t>Insista! #MarketingDigital #dinheiro #motivação #liberdadefinanceira #edit https://t.co/8EJ64cUH3k</t>
  </si>
  <si>
    <t>Tenha foco! #MarketingDigital #dinheiro #motivação #liberdadefinanceira #edit https://t.co/4s3Xd88iEU</t>
  </si>
  <si>
    <t>Não desista! #MarketingDigital #dinheiro #motivação #liberdadefinanceira #edit https://t.co/JSdg8voQCu</t>
  </si>
  <si>
    <t>Já pensou no futuro? #MarketingDigital #dinheiro #motivação #liberdadefinanceira #edit https://t.co/w7oPKVAsDQ</t>
  </si>
  <si>
    <t>Liberdade! #MarketingDigital #dinheiro #motivação #liberdadefinanceira #edit https://t.co/KzYEFbdXVW</t>
  </si>
  <si>
    <t>Seu futuro depende de suas decisões! #MarketingDigital #dinheiro #motivação #liberdadefinanceira #edit https://t.co/uBi60maanB</t>
  </si>
  <si>
    <t>Bilionário! #MarketingDigital #dinheiro #motivação #liberdadefinanceira #edit https://t.co/B5qDmMQFgS</t>
  </si>
  <si>
    <t>Sua decisão! #MarketingDigital #dinheiro #motivação #liberdadefinanceira #edit https://t.co/FZjoUJsUph</t>
  </si>
  <si>
    <t>Insista! #MarketingDigital #dinheiro #motivação #liberdadefinanceira #edit https://t.co/ZVidk0umIc</t>
  </si>
  <si>
    <t>Não pare! #MarketingDigital #dinheiro #motivação #liberdadefinanceira #edit https://t.co/Z319OcSSre</t>
  </si>
  <si>
    <t>Você decide o seu futuro! #MarketingDigital #dinheiro #motivação #liberdadefinanceira #edit https://t.co/WTQAF7m8D7</t>
  </si>
  <si>
    <t>Está esperando o que? #MarketingDigital #dinheiro #motivação #liberdadefinanceira #edit https://t.co/cqUXq4gimX</t>
  </si>
  <si>
    <t>Fique rico! #marketingdigital #dinheiro #motivação #liberdadefinanceira #edit https://t.co/mmVF1rvPXn</t>
  </si>
  <si>
    <t>Alcançe seus sonhos! #marketingdigital #motivação #dinheiro #liberdadefinanceira #edits https://t.co/aVnilWjnBS</t>
  </si>
  <si>
    <t>Não vai querer ficar fora dessa né? 
#MarketingDigital #dinheiro #motivação #liberdadefinanceira #edit https://t.co/OjbprLKSoZ</t>
  </si>
  <si>
    <t>O seu futuro depende da sua atitude! #MarketingDigital #dinheiro #motivação #liberdadefinanceira #edit https://t.co/8zvcjm5MNx</t>
  </si>
  <si>
    <t>Aprenda a mudar de vida! #MarketingDigital #dinheiro #motivação #liberdadefinanceira #edits #milionário https://t.co/Bz1pTJOa1P</t>
  </si>
  <si>
    <t>De uma olhadinha! #MarketingDigital #dinheiro #motivação #liberdadefinanceira #edits #milionário https://t.co/qwztSRnYni</t>
  </si>
  <si>
    <t>Uma olhadinha só! #MarketingDigital #dinheiro #motivação #liberdadefinanceira #edit #milionário https://t.co/Uji8bA3yV9</t>
  </si>
  <si>
    <t>Mude de vida em 2023! #MarketingDigital #dinheiro #motivação #liberdadefinanceira #edit #milionário https://t.co/27LDSPwm4S</t>
  </si>
  <si>
    <t>Fique rico em 2023!
#MarketingDigital #dinheiro #motivação #edit #liberdadefinanceira #RICO #milionário https://t.co/rwhxQtdZxm</t>
  </si>
  <si>
    <t>Aprenda a mudar de vida! #MarketingDigital #dinheiro #motivação #liberdadefinanceira #edit #rico #milionário https://t.co/qZJKXWXN0s</t>
  </si>
  <si>
    <t>Fuja da matrix!
#MarketingDigital #dinheiro #liberdadefinanceira #motivação #edit https://t.co/nMttnLzlPg</t>
  </si>
  <si>
    <t>Milionário em 2023! 
#MarketingDigital #dinheiro #motivação #edit #liberdadefinanceira #milionário https://t.co/vLevvBtpd3</t>
  </si>
  <si>
    <t>Fique rico! #MarketingDigital #dinheiro #milionário #rico #liberdadefinanceira #Motivation #motivação #edit https://t.co/U5QaqNqD0H</t>
  </si>
  <si>
    <t>Mude de vida em 2023! #MarketingDigital #dinheiro #rico #Motivation #motivação #liberdadefinanceira #milionário #edit https://t.co/YusdPVDcyJ</t>
  </si>
  <si>
    <t>Aprenda a ficar rico! #MarketingDigital #dinheiro #liberdadefinanceira #Motivation #motivação #milionário #rico https://t.co/r4Tp65btc7</t>
  </si>
  <si>
    <t>Fique rico em 2023! #MarketingDigital #dinheiro #liberdadefinanceira #Motivation #motivação #milionário #edit https://t.co/TyK17joZdb</t>
  </si>
  <si>
    <t>https://t.co/GMn6ZFwcBs
#MarketingDigital #dinheiro #liberdadefinanceira #Motivation #motivação https://t.co/ClsagYQnDy</t>
  </si>
  <si>
    <t>Mude de vida em 2023! #MarketingDigital #dinheiro #liberdadefinanceira #Motivation #motivação #edit https://t.co/9koWfIsrRv</t>
  </si>
  <si>
    <t>Aprenda a mudar de vida!
#MarketingDigital #Marketing #dinheiro #liberdadefinanceira #Motivation #motivação https://t.co/AHnmVV5Na9</t>
  </si>
  <si>
    <t>Persistência! #MarketingDigital #dinheiro #motivação #liberdadefinanceira #futuro https://t.co/G0IpJ01IOa</t>
  </si>
  <si>
    <t>Não desista! #MarketingDigital #dinheiro #motivação #liberdadefinanceira #edit https://t.co/TAL7yadbvh</t>
  </si>
  <si>
    <t>Persistência! #MarketingDigital #dinheiro #motivação #liberdadefinanceira #edit https://t.co/c8PSx97kve</t>
  </si>
  <si>
    <t>Inspiração! #MarketingDigital #dinheiro #motivação #liberdadefinanceira #edit https://t.co/6EbwJJsZ4m</t>
  </si>
  <si>
    <t>Futuro! #MarketingDigital #dinheiro #motivação #liberdadefinanceira #edit https://t.co/u3RnwRxrqX</t>
  </si>
  <si>
    <t>Sucesso! #MarketingDigital #dinheiro #motivação #liberdadefinanceira #edit https://t.co/oqZ3RSNSNd</t>
  </si>
  <si>
    <t>Futuro! #MarketingDigital #dinheiro #motivação #liberdadefinanceira #edit https://t.co/nTcmEySOCA</t>
  </si>
  <si>
    <t>Nunca desista! #MarketingDigital #dinheiro #motivação #liberdadefinanceira #edit https://t.co/SKkGOHlkWU</t>
  </si>
  <si>
    <t>Futuro! #MarketingDigital #dinheiro #motivação #liberdadefinanceira #edit https://t.co/po4X5WEPAS</t>
  </si>
  <si>
    <t>Insista! #MarketingDigital #dinheiro #motivação #liberdadefinanceira #edit https://t.co/wUBnuEB7lb</t>
  </si>
  <si>
    <t>Foco! #MarketingDigital #dinheiro #motivação #liberdadefinanceira #edit https://t.co/jqWXpZASsV</t>
  </si>
  <si>
    <t>Insista! #MarketingDigital #dinheiro #motivação #liberdadefinanceira #edit https://t.co/gl0V7Ifa0N</t>
  </si>
  <si>
    <t>Nunca desista! #MarketingDigital #dinheiro #motivação #liberdadefinanceira #edit https://t.co/TmtrJwqbfV</t>
  </si>
  <si>
    <t>Não desista! #MarketingDigital #dinheiro #motivação #liberdadefinanceira #edit https://t.co/PvtE69Sp3Z</t>
  </si>
  <si>
    <t>Não tenha medo! #MarketingDigital #dinheiro #motivação #liberdadefinanceira #edit https://t.co/3yBxIPih1T</t>
  </si>
  <si>
    <t>Futuro! #MarketingDigital #dinheiro #motivação #liberdadefinanceira #edit https://t.co/dLHRNluo6c</t>
  </si>
  <si>
    <t>Seu futuro depende de você! #MarketingDigital #dinheiro #motivação #liberdadefinanceira #edit https://t.co/au2FsRKe7v</t>
  </si>
  <si>
    <t>Não desista! #MarketingDigital #dinheiro #motivação #liberdadefinanceira #edit https://t.co/K8NCtTezwo</t>
  </si>
  <si>
    <t>Insista! #MarketingDigital #dinheiro #motivação #liberdadefinanceira #edit https://t.co/OxIEYrkb6N</t>
  </si>
  <si>
    <t>Não desista! #MarketingDigital #dinheiro #motivação #liberdadefinanceira #edit https://t.co/sxnNK7vape</t>
  </si>
  <si>
    <t>Seu futuro depende de você! 
#MarketingDigital #dinheiro #motivação #liberdadefinanceira #edit https://t.co/cph5LRRXZJ</t>
  </si>
  <si>
    <t>Luxúria! #MarketingDigital #dinheiro #motivação #liberdadefinanceira #edit https://t.co/jWf38AwdqG</t>
  </si>
  <si>
    <t>Tenha uma vida milionária! #MarketingDigital #liberdadefinanceira #dinheiro #motivação #milionário https://t.co/qmFQvVxICL</t>
  </si>
  <si>
    <t>Vida de luxo! #MarketingDigital #liberdadefinanceira #dinheiro #motivação #edit https://t.co/refFaZ2Iur</t>
  </si>
  <si>
    <t>Milionário! #MarketingDigital #dinheiro #liberdadefinanceira #edit #motivação https://t.co/0uvmpBfpuu</t>
  </si>
  <si>
    <t>Luxúria! #MarketingDigital #dinheiro #liberdadefinanceira #motivação #edit https://t.co/EjyFCUftKa</t>
  </si>
  <si>
    <t>Luxo! #MarketingDigital #dinheiro #motivação #liberdadefinanceira #edit https://t.co/iZsXum40a6</t>
  </si>
  <si>
    <t>Não perca seu tempo! #marketingdigital #dinheiro #liberdadefinanceira #motivação #edits https://t.co/tQpcmUUXG9</t>
  </si>
  <si>
    <t>Vida de luxo! #MarketingDigital #dinheiro #motivação #liberdadefinanceira #edits https://t.co/ElChZQlKw0</t>
  </si>
  <si>
    <t>Alcançe seus sonhos!
#MarketingDigital #dinheiro #motivação #liberdadefinanceira #edits https://t.co/IhebbY4mRf</t>
  </si>
  <si>
    <t>Não fique parado! #MarketingDigital #dinheiro #liberdadefinanceira #motivação #edits https://t.co/fXkhTShQ3y</t>
  </si>
  <si>
    <t>Alcançe suas metas! 
#MarketingDigital #dinheiro #liberdadefinanceira #edits #motivação https://t.co/MaUbtrks9S</t>
  </si>
  <si>
    <t>Motivação! #MarketingDigital #dinheiro #liberdadefinanceira https://t.co/b821e32pBj</t>
  </si>
  <si>
    <t>Visionário! #MarketingDigital #dinheiro #motivação #liberdadefinanceira #futuro https://t.co/Ti0BuwYtTg</t>
  </si>
  <si>
    <t>Visionário! #MarketingDigital #dinheiro #motivação #liberdadefinanceira #futuro https://t.co/G0mU1zprzr</t>
  </si>
  <si>
    <t>Futuro! #MarketingDigital #dinheiro #motivação #liberdadefinanceira #futuro https://t.co/box65hvqKd</t>
  </si>
  <si>
    <t>Insista! #MarketingDigital #dinheiro #motivação #liberdadefinanceira #futuro https://t.co/9x8N2kermf</t>
  </si>
  <si>
    <t>Você está pronto para se tornar um especialista em tráfego digital e impulsionar o seu negócio a novos patamares? Apresentamos o Curso Definitivo sobre Tráfego Digital, a chave para dominar o mundo online!
https://t.co/GMn6ZFwcBs
#liberdadefinanceira</t>
  </si>
  <si>
    <t>Motivação! #MarketingDigital #dinheiro #motivação #liberdadefinanceira #futuro https://t.co/8uGnayPV0m</t>
  </si>
  <si>
    <t>Insista! #MarketingDigital #dinheiro #motivação #liberdadefinanceira #edit https://t.co/0dJehCLoT7</t>
  </si>
  <si>
    <t>Nunca desista! #MarketingDigital #dinheiro #motivação #liberdadefinanceira #edit https://t.co/c4cGJbuDfL</t>
  </si>
  <si>
    <t>Foco! #MarketingDigital #dinheiro #motivação #liberdadefinanceira #edit https://t.co/fOdO7hE8H6</t>
  </si>
  <si>
    <t>Insista! #MarketingDigital #dinheiro #motivação #liberdadefinanceira #edit https://t.co/ry9wb7ImkN</t>
  </si>
  <si>
    <t>Futuro! #MarketingDigital #dinheiro #motivação #liberdadefinanceira #edit https://t.co/sAIqHIyipj</t>
  </si>
  <si>
    <t>Não desista! #MarketingDigital #dinheiro #motivação #liberdadefinanceira #edit https://t.co/9BvJtHvyGZ</t>
  </si>
  <si>
    <t>Pense no futuro! #MarketingDigital #dinheiro #motivação #liberdadefinanceira #edit https://t.co/LaNPYVnDOS</t>
  </si>
  <si>
    <t>Mantenha o foco! #MarketingDigital #dinheiro #motivação #liberdadefinanceira #edit https://t.co/UopGxTCOPm</t>
  </si>
  <si>
    <t>Seja o próximo milionário! #MarketingDigital #dinheiro #motivação #liberdadefinanceira #edit https://t.co/Rjyp7oNdy4</t>
  </si>
  <si>
    <t>Futuro! #MarketingDigital #dinheiro #motivação #liberdadefinanceira #edit https://t.co/3SfsM0y6Uu</t>
  </si>
  <si>
    <t>Aprenda a mudar de vida! #MarketingDigital #dinheiro #motivação #liberdadefinanceira #edit https://t.co/LQjKnYlYPl</t>
  </si>
  <si>
    <t>Tenha um futuro luxuoso! #MarketingDigital #dinheiro #motivação #liberdadefinanceira #edit https://t.co/tgLIXR8hhk</t>
  </si>
  <si>
    <t>Sua decisão! #MarketingDigital #dinheiro #motivação #liberdadefinanceira #edit https://t.co/9mXaywHCkU</t>
  </si>
  <si>
    <t>Siga seu sonho! #MarketingDigital #dinheiro #motivação #liberdadefinanceira #edits https://t.co/k0tfoOGGZC</t>
  </si>
  <si>
    <t>Se torne um milionário! #MarketingDigital #dinheiro #motivação #liberdadefinanceira #edit https://t.co/0wNZYJRs3a</t>
  </si>
  <si>
    <t>Faça se tornar realidade! #MarketingDigital #dinheiro #liberdadefinanceira #motivação #edit https://t.co/ScVtpbMWH9</t>
  </si>
  <si>
    <t>Aprenda a ficar rico! #MarketingDigital #dinheiro #liberdadefinanceira #motivação #edit https://t.co/aWmqiESGs2</t>
  </si>
  <si>
    <t>Não desista! #MarketingDigital #dinheiro #liberdadefinanceira #motivação #edit https://t.co/UhEwcnwv3Z</t>
  </si>
  <si>
    <t>Invista em si mesmo, visite o nosso site e veja como contratar um empréstimo online para negativados, lembramos que, Não Cobramos Taxas Antecipadas, (Link na Bio) #liberdadefinanceira #emprestimoseguro #emprestimoonline #dicasfinanceiras #educaçãofinanceira https://t.co/FImDSs0xHv</t>
  </si>
  <si>
    <t>O meu objetivo é ganhar dinheiro e investir para ter um futuro melhor!!! #liberdadefinanceira #financas</t>
  </si>
  <si>
    <t>O Primeiro Episódio do Investidores da Quebrada já está no ar! Corre lá para assistir!
https://t.co/8oeiNUhNKu
#StudioMadeHits #InvestidoresdaQuebrada #TVMadeHits #investidoresdesucesso #jovensinvestidores #investidoresdofuturo #liberdadefinanceira #opções #oportunidadesa https://t.co/5VuVvKjhd5</t>
  </si>
  <si>
    <t>Primeiro episódio do Investidores da Quebrada, hoje às 17:00, no canal TVMadeHits do YouTube. E você, está pronto?
https://t.co/8oeiNUhNKu
#StudioMadeHits #InvestidoresdaQuebrada #TVMadeHits #empresas #opções #comoinvestir #liberdadefinanceira #investimentoseguro #investidores https://t.co/HdYDA6wrjX</t>
  </si>
  <si>
    <t>Você sabia?? 📷💼 #StudioMadeHits #InvestidoresdaQuebrada #TVMadeHits #fotografa #fotografia #foto #fotografar #fotografando #tiktoks #tiktokvideos #hastag #videostaredits #trendingvideos #viralposts #podcast #newpodcast #podcast🎧 #empreendimento #finanças #liberdadefinanceira https://t.co/AFT01xMf4M</t>
  </si>
  <si>
    <t>Parece que faz muito tempo! Quem já conseguiu trabalho através do "Amarelinho"? 🌼💼#StudioMadeHits #InvestidoresdaQuebrada #TVMadeHits #empresas #opções #comoinvestir #liberdadefinanceira  #radioshow #viralvideos #videoviral #tiktokviral #videostaredits #trendingvideos https://t.co/pGIuvJ1owt</t>
  </si>
  <si>
    <t>Get started now with your Blueprint to financial freedom: https://t.co/hrMPntvFGC
DM me to schedule a time with one of our Wealth Endorsed Mentors and get started on your Sacred Account.
#finance #liberdadefinanceira #personalfinance #mercadofinanceiro #finances https://t.co/Fnu9ygScUz</t>
  </si>
  <si>
    <t>Quer saber mais?
Acesse: https://t.co/5ROjuRX0TU e conheça nossos serviços. (Link na Bio) 
#fwbplanejamentofinanceiro #planejamentofinanceiro #sonhos #investimentos #liberdadefinanceira #aposentadoria #planejamento https://t.co/EX2YX0ZLtd</t>
  </si>
  <si>
    <t>Deixe o dinheiro trabalhar para você e alcance a independência financeira.
#investimentos #dinheiro #bolsadevalores #investimento #mercadofinanceiro #o #finan #empreendedorismo #a #investir #liberdadefinanceira #sucesso #es #as #rendaextra #economia #ed… https://t.co/2S3IBjIcgC https://t.co/Pap3epQtuX</t>
  </si>
  <si>
    <t>Quanto de dinheiro devemos ter no banco para ficarmos “tranquilos” pro resto da vida?
#independenciafinanceira #investimentos #aposentadoria #regradetres #regrade3 #liberdadefinanceira #inteligencialimitada #thiagofinch #finch #rogeriovilela #vilela https://t.co/5dbLgLITSE</t>
  </si>
  <si>
    <t>10 Estratégias Para Alcançar a Independência Financeira https://t.co/SqFLRK4Zt0 
#independenciafinanceira #financaspessoais #investimentos #rendapassiva #gerenciamentodedividas #educacaofinanceira #aposentadoria #consultoriafinanceira #liberdadefinanceira #planejamentofinanceiro https://t.co/mZZ0UGoH8b</t>
  </si>
  <si>
    <t>"Descubra a liberdade das criptomoedas: transações rápidas, seguras e sem fronteiras. Seja dono do seu dinheiro. #Criptomoedas #Blockchain #LiberdadeFinanceira"</t>
  </si>
  <si>
    <t>#willow   
 #lulu  #luludapomerania
@rv_rafael_vieira 
#animallovers #cachorro #cachorrosfofos #brasil #amor #liberdadefinanceira #sera #lua #sol  #amore https://t.co/9JaB8WtOjX</t>
  </si>
  <si>
    <t>"Libertade financeira é uma conquista que vale a pena buscar. Trabalhar duro, investir e ter disciplina são fundamentais para alcançá-la. #liberdadefinanceira #investimentos #sucesso"</t>
  </si>
  <si>
    <t>"Liberdade financeira é uma conquista que vale a pena buscar. Trabalhar duro, investir e ter disciplina são fundamentais para alcançá-la. #liberdadefinanceira #investimentos #sucesso"</t>
  </si>
  <si>
    <t>Se você chegou até aqui, se interessou por essa Jornada e deseja saber como e onde investir para alcançar essa tão sonhada #LiberdadeFinanceira basta curtir e comentar aqui para que eu possa te ajudar na prática 
Corre que é sem custo apenas para as primeiras 10 pessoas 
🚀</t>
  </si>
  <si>
    <t>“Como Sobreviver A Uma Recessão Em 5 Passos!” by Hilton Vieira
https://t.co/KhtnnkRHmQ
#planejamentofinanceiro #investimento #poupanca #gestaodedinheiro #economiapessoal #educacaofinanceira #liberdadefinanceira #segurancafinanceira #independenciafinanceira #rendapassiva https://t.co/w78jEsZapP</t>
  </si>
  <si>
    <t>🎯 Qualquer lugar… pode ser seu local de produtividade. 
.
#work #consultoria #treino #musculação #liberdadegeografica #liberdadefinanceira #trabalhoonline https://t.co/wgbATFhi0L</t>
  </si>
  <si>
    <t>A liberdade financeira é a chave para viveres a vida ao máximo. 
Imagina não te preocupares com as contas e poderes investir nas tuas paixões.
Quero partilhar contigo estratégias comprovadas.
Fica atenta!
#AlexandraSeixasAcademias #LiberdadeFinanceira #VidaPlena https://t.co/FVWh8p0FZo</t>
  </si>
  <si>
    <t>Frase da aula: "INTENÇÃO SUBJETIVA E PROSPERIDADE".
Assista na EAD: https://t.co/kte0QvbF2r
#prosperidade #intenção #intuição #sentimento #prosperar #ganhardinheiro #liberdadefinanceira #mecânicaquântica #leidaatração #inconsciente #consciente #subconsciente #heliocouto https://t.co/r0UyHC4Yyw</t>
  </si>
  <si>
    <t>Na jornada rumo à liberdade financeira, conte com a Lux para oferecer recursos e ferramentas essenciais que maximizam suas oportunidades de investimento. #InvestimentosInteligentes #PlanejamentoFinanceiro #DecisõesInformadas #LiberdadeFinanceira #ConsultoriaFinanceira #LuxCapital https://t.co/vwKKa3KO68</t>
  </si>
  <si>
    <t>Gosta de dicas de renda?
aqui vai algumas.😉💰
#rendaextra #liberdadefinanceira #SalarioMinimo #Renda https://t.co/OuRaSS9RIc</t>
  </si>
  <si>
    <t>Fala mulekada!
Não tem sensação melhor que essa! 🤑
Ainda mais com tantas empresas anunciando proventos nos últimos dias!
#MulekadaInvestidora #Economia #Negócios #Dividendos #Sucesso #LiberdadeFinanceira #RendaPassiva https://t.co/T8punNBPzi</t>
  </si>
  <si>
    <t>Bancos quebrando no EUA lembra a crise financeira de 2008 e o motivo que levou a criação do #Bitcoin, a valorização das criptomoedas nos últimos dias, mostra que a verdadeira tese do BTC está funcionando! #BuyBitcoin</t>
  </si>
  <si>
    <t>Um dia, nosso querido, honesto e humano Glaidson Acácio, sairá da prisão absurda a q foi submetido, depois de toda a perseguição, injúria e difamação. Ele sempre disse: melhor q terceirizar trade é comprar criptomoeda #Bitcoin #GlaidsonLivre #CompreBitcoin #LiberdadeFinanceira</t>
  </si>
  <si>
    <t>Um dos artigos mais importantes do site!!!⚠️⚠️⚠️
#paraopovo #liberdadefinanceira #desenvolvimentopessoal
https://t.co/4rh1CdUDXM</t>
  </si>
  <si>
    <t>Espero que esse artigo te ajude na mudança de vida, deixe seu comentário sobre o assunto, vamos trocar essa ideia!
#liberdade
#liberdadefinanceira
#paraopovo
https://t.co/nMRZpc3zy2</t>
  </si>
  <si>
    <t>Preparados para explorar e aprender tudo sobre o universo de criptomoedas de uma forma descomplicada? Então já segue para não perder nada!! #bitcoin #crypto #blockchain #educacaofinanceira #criptomoedas #cryptolife #futurofinanceiro #moedadigital #liberdadefinanceira #cryptonoide</t>
  </si>
  <si>
    <t>Helpline  பைனான்ஸ் வயது மற்றும் வருமான தகுதிகளின் அடிப்படையில் சம்பளம் மற்றும் சுயதொழில் செய்பவர்களுக்கு கவர்ச்சிகரமான வட்டி விகிதத்தில் கார் கடன்களை வழங்குகிறது, 
id:admin@helplinefinancesserviceandsolution.com
mobile:+91 8098096666
#finance #liberdadefinanceira #personalfinanc https://t.co/ZhALRrLfn1</t>
  </si>
  <si>
    <t>Artificial intelligence (AI) solutions will enable financial institutions and banks to optimize their service offerings in this ever-changing and
#finance #liberdadefinanceira #financeiro #refinance #financebroker #financemanager #intelligenceartificial
https://t.co/9j3YJ7xxnM</t>
  </si>
  <si>
    <t>Essas são alguns formas de você ter uma renda mensal e fazer o seu dinheiro trabalhar para você de forma inteligente, já pensou em receber dinheiro sem trabalhar?
#bolsadevalores #investimentos #trader #dinheiro #liberdadefinanceira #rendapassiva #cdb #poupanca #acoes #fiis https://t.co/DcyfLR1y2e</t>
  </si>
  <si>
    <t>#rendaextra #liberdadefinanceira #trabalhardecasa #semaparecer #mulheres 
https://t.co/N1L1aKT1dl https://t.co/gjpFCwhly9</t>
  </si>
  <si>
    <t>Do livro Mais esperto que o diabo #livro #Finance #liberdadefinanceira https://t.co/eMqSoi2EkM</t>
  </si>
  <si>
    <t>WISHING YOU A PREDICTABLE, PROFITABLE, SUSTAINABLE NEW YEAR AHEAD
#finance #liberdadefinanceira #personalfinance #mercadofinanceiro #finances #educacaofinanceira #independenciafinanceira #planejamentofinanceiro #refinance #sucessofinanceiro #financeiro #financetips #Inteligencia https://t.co/jl1gVdUfSu</t>
  </si>
  <si>
    <t>Às vezes parece que alcançar a liberdade financeira é uma #MissãoImpossível?
A boa notícia é que não precisa ser assim!
Aproveite pra dar esse passo hoje mesmo!
💸Sua #LiberdadeFinanceira começa aqui: https://t.co/5KtXglHBp3.b https://t.co/wdQ420kcNM</t>
  </si>
  <si>
    <t>Quer começar seu próprio negócio? E conhecer uma pessoa que descobriu que vender semijoisas era um ótimo negócio? Então, só acessar o link e conferir a história da Josie https://t.co/o7OawFpvOU
•
#semijoias #liberdadefinanceira #empreendedora https://t.co/mjQ4orgg1R</t>
  </si>
  <si>
    <t>🎉Chegou o momento de conquistar sua independência financeira. Pronta pras oportunidades que estão surgindo? Acesse o link que a Josie te conta o passo a passo https://t.co/y3zjqcyOMR
•
#semijoias #liberdadefinanceira #semojoiasdeluxo #mulheresempreendedoras #brincos #aneis https://t.co/3cVT2FWH2x</t>
  </si>
  <si>
    <t>Ebook da Jornada Financeira: 
Aprenda a dar os primeiros passos com @gabrielamosmann . Ao final deste Ebook você vai descobrir os 5 passos para a #liberdadefinanceira 
Receba aqui: https://t.co/MHLJgqW3xP</t>
  </si>
  <si>
    <t>Oportunidade Blue
Venha fazer parte da Blue Drops.
Saúde  e Renda passiva  na mesma oportunidade,  marketing de relacionamento!
#rendapassiva #empreender #liberdadefinanceira 
#rico #prosperidade #prosperidadefinanceira #rendaextraemcasa 
https://t.co/VlZYe1YxFP https://t.co/QhImMVx2zp</t>
  </si>
  <si>
    <t>Participe do nosso grupo de WhatsApp e tire suas dúvidas 😉👍 https://t.co/EkPKCKVeqa
#rendaextra  #liberdadefinanceira https://t.co/LvErzXD42m</t>
  </si>
  <si>
    <t>Saia da roda dos pense, pense fora da caixinha 📦💭
 #liberdadefinanceira #dividendos #rendapassiva https://t.co/wCq0ym5aMd</t>
  </si>
  <si>
    <t>Uma das melhores formas de construir fortuna e liberdade financeira de forma acelerada, note que isto não é uma promessa de dinheiro fácil ok, existe um trabalho a ser feito, porém, todos conseguem....
#dinheiro #rendaextra #liberdadefinanceira #sucessofinanceiro #sonhos https://t.co/XePzJZvOaM</t>
  </si>
  <si>
    <t>Concorda com essas palavras? Comenta aqui se você é um empreendedor nato! 
#empreender #empreendedorismo #sucesso #empreendedor #negocios #business #vendasonline #empreendertransforma #liberdadefinanceira #investimento #trabalho https://t.co/nEveiu2PfC</t>
  </si>
  <si>
    <t>📚 Transforme suas finanças pessoais com o livro “Dinheiro: Domine esse jogo - 7 passos para a liberdade financeira” 📚
https://t.co/TXkikmGymv
#Finance #liberdadefinanceira</t>
  </si>
  <si>
    <t>#EducaçãoFinanceira
#FinançasPessoais
#PlanejamentoFinanceiro
#LiberdadeFinanceira
#Investimentos
https://t.co/OrPmXtEQGP</t>
  </si>
  <si>
    <t>Ao administrar o dinheiro com sabedoria, ganhamos liberdade para fazer escolhas selecionadas com nossos valores e objetivos de vida. Isso é a cerne da visão estoica sobre finanças. #Estoicismo #LiberdadeFinanceira"</t>
  </si>
  <si>
    <t>Mande "eu quero" que te ensino a fazer dinheiro  com seu celular e mudar de vida 🫶🏻#marketingdigital #luxurylifestyle #liberdadefinanceira #riqueza #viral https://t.co/hm5UDnVtI1</t>
  </si>
  <si>
    <t>Mande "eu quero" que te ensino a fazer dinheiro  com seu celular e mudar de vida 🫶🏻#marketingdigital #luxurylifestyle #liberdadefinanceira #riqueza #viral https://t.co/T4kLplylQf</t>
  </si>
  <si>
    <t>Mande "eu quero" que te ensino a fazer dinheiro  com seu celular e mudar de vida 🫶🏻#marketingdigital #luxurylifestyle #liberdadefinanceira #riqueza #viral https://t.co/VjV812rxj6</t>
  </si>
  <si>
    <t>Um negócio disruptivo explode devido a duas coisas: um modelo de negócio disruptivo, e uma tecnologia disruptiva. Segue o🧵
#empreendedorismo #negocios #bitcoin #liberdadefinanceira</t>
  </si>
  <si>
    <t>https://t.co/uUbwIizMaJ
Perdeu a coragem, sente-se sozinho, se sabota?
#lanchonete   #liberdadefinanceira   #liderança   #liderancafeminina</t>
  </si>
  <si>
    <t>https://t.co/Syy2Fl7Imd
https://t.co/qxiBOPGyZB
#lanchonete   #liberdadefinanceira   #liderança   #liderancafeminina   #lideranças   #linhaazul</t>
  </si>
  <si>
    <t>https://t.co/jdzpJtIuiu
#Lapa   #Liberdade   #liberdadefinanceira   #liderança   #liderancafeminina   #lideranças #Limão   #linhaazul   #linkedin   #linkedinbrasil   #litoralnorte   #logisticaemsaude</t>
  </si>
  <si>
    <t>#jundiai   #justiça   #Kids   #KidsZone   #kuara   #kuarahotel
#lajes   #lancamento   #lancamentos   #lanchonete   #Lapa   #lebiscuit
#leite   #leodeArgan    #ler   #Liberdade   #liberdadefinanceira   #liberdadesp https://t.co/R2RxtbVk6Z</t>
  </si>
  <si>
    <t>📚💰 Quer saber quais são os livros que vão mudar sua vida financeira? 🤔 
Descubra agora os 🔝1️⃣0️⃣ melhores livros sobre liberdade financeira 🤑, escritos por só autor consagrado!
 #livros #finanças #liberdadefinanceira #TOP10 https://t.co/jMGAx7LVdc</t>
  </si>
  <si>
    <t>Aprenda a escolher as melhores estratégia https://t.co/XYzm6gK0He via @YouTube 
#educaçãofinanceira #liberdadefinanceira
+ https://t.co/nlhYWGqcNl...    Descubra o poder da educação financeira e aprenda a fazer escolhas inteligentes de investimento!  Você já se perguntou como</t>
  </si>
  <si>
    <t>Carregando a minha pasta para independência Financeira...🇲🇿
#independenciafinanceira #liberdadefinanceira #juventudemilionaria https://t.co/gvUEqC2YAn</t>
  </si>
  <si>
    <t>Marca seu amigo que não tem vergonha na cara!
#liberdadefinanceira https://t.co/XJlQ5rwEci</t>
  </si>
  <si>
    <t>Um indivíduo criou uma cópia do seu Bored Ape no Bitcoin e queimou a cópia original no Ethereum.
Gênio ou mula?
.
.
.
.
.
#nft #cripto #trading #ethereum #btc #eth #brasil #investimentos #bitcoins #mercadofinanceiro #liberdadefinanceira #criptomoeda #criptos #criptomoedas https://t.co/7HYC3Cu7QX</t>
  </si>
  <si>
    <t>Finvestmentor will help you create investments apt for financing your dreams.  To know more about DBFS Finvestmentor Advisory Services, please visit your nearest DBFS branch.
#finance #liberdadefinanceira #personalfinance #mercadofinanceiro #finances #educacaofinanceira https://t.co/5PPurVJWCd</t>
  </si>
  <si>
    <t>Tá difícil! 😓
Mais eu não vou desistir. 🙏🏼
#LiberdadeFinanceira</t>
  </si>
  <si>
    <t>Quem tem excelência naquilo que se propõe a fazer,  não se importa com a concorrência. Você pode...Você consegue.... acompanhe o Instagram
@wilsondesousa_ #liberdadefinanceira https://t.co/zi1VlRYzkK</t>
  </si>
  <si>
    <t>#CashbackAtitude #LiberdadeFinanceira #SonheGrande
Conheça Wendel Mello, que transformou seu hobby em negócio com ajuda do cashback Atitude.
Sonhe como ele!
#EmpreendaComCashback #HistoriasDeTransformacao
Wendel Mello fala como o cashback Atitude viabilizou https://t.co/YF7TaBam4P</t>
  </si>
  <si>
    <t>😎 - Eu vejo barras grandes de alta.
😳 - Com qual frequência?
😎 - Todos os dias! 🚀🐃
E você?
Já está acumulando seus Satoshis rumo ao próximo topo histórico? ⛰️
🚀 Não dê bobeira, $1 milhão já é logo ali!
#BTC #Bitcoin #liberdadefinanceira #volatilidade</t>
  </si>
  <si>
    <t>" Traçando novos horizontes em busca de sonhos de transformar em uma nova realidade." 
Quer viver da internet saiba:
👇🏼👇🏼👇🏼👇🏼👇🏼👇🏼👇🏼👇🏼
https://t.co/ZJ9zIHIrb6
#MarkentingDigital  #MarkentingDeAfiliados  #TrabalhoEmCasa  #LiberdadeFinanceira  #LiberdadeGeográfica  #ComeçandoDoZero https://t.co/ep5Hqgk39Z</t>
  </si>
  <si>
    <t>Respeite o processo da construção, lá na frente verás uma grande obra de recompensas. 📱 🌎 💻
Acesse o link da bio 
#MarkentingDigital  #MarkentingBrasil  #MarkentingDeAfiliados  #TrabalhoEmCasa  #Trabalho  #LiberdadeFinanceira  #LiberdadeGeográfica  #ComeçandoDoZero https://t.co/fZh8hNTsiw</t>
  </si>
  <si>
    <t>#QuemPensaEnriquece #LiberdadeFinanceira #doTerra https://t.co/1R2NxMzjCZ</t>
  </si>
  <si>
    <t>🐱 Conquiste a selva financeira com o Gatinho da Ganância e da Ambição! 📈 Explore a bolsa de valores e transforme seus instintos em lucros incríveis. 🚀 Comece sua jornada rumo ao sucesso hoje mesmo! 💰🌟 #BolsaDeValores
 #liberdadefinanceira
https://t.co/xlVyMWqvKj https://t.co/pLnEEXMA5S</t>
  </si>
  <si>
    <t>Trace um plano de pagamento, priorize as suas dívidas e evite mais acúmulos.
Comece a trilhar um caminho mais leve em direção à independência financeira. 🌟💰
#Dívidas #LiberdadeFinanceira #PlaneamentoFinanceiro #CrescimentoFinanceiro</t>
  </si>
  <si>
    <t>DEIXE O TEU LIKE, COMENTE e COMPARTILHE PARA QUE MAIS PESSOAS TENHAM ACESSO A ESSE CONTEÚDO.
#finanças #pessoais #liberdadefinanceira</t>
  </si>
  <si>
    <t>Have you ever wondered which is the largest company in the world?
#finance #liberdadefinanceira #personalfinance #mercadofinanceiro #finances #educacaofinanceira #independenciafinanceira #planejamentofinanceiro #refinance #sucessofinanceiro #financeiro #financetips https://t.co/Y511BxDs2B</t>
  </si>
  <si>
    <t>🌐 À beira da revolução digital, é crucial decifrar o papel das CBDCs na economia. Prometendo modernização, questionamos: liberdade ou controle estatal? Descubra em nosso artigo.
#CBDCs #Bitcoin #LiberdadeFinanceira
https://t.co/U8g51YxN7P</t>
  </si>
  <si>
    <t>Quanto mais você investe, mais renda conquista. 
Quanto mais renda, mais opções de investimentos você tem. 
E quanto mais opções de investimentos, mais livre financeiramente  você se torna. 💰📈🗽🦍 #Investimentos #LiberdadeFinanceira"</t>
  </si>
  <si>
    <t>Um método desenvolvido para
mulheres que buscam a sua liberdade
financeira e querem utilizar a internet
como meio para construir um negócio
sólido, lucrativo e exponencial.
⬇️⬇️⬇️ 
https://t.co/GmefheqOhr
#sejapatroa
#liberdadefinanceira https://t.co/EBXEnUJjAC</t>
  </si>
  <si>
    <t>Esse negócio de há eu não sei o que fazer aqui se não tiver uma análise técnica gráfica… é coisa do passado! 
#trader #liberdadefinanceira #voar #experience #ia https://t.co/o4qnOA6FLC</t>
  </si>
  <si>
    <t>Empreendedorismo: o caminho para a renda e independência financeira.
Se você acredita no poder de criar o seu próprio futuro, junte-se a mim nessa jornada! #empreendedorismo #rendaextra #sucesso #liberdadefinanceira</t>
  </si>
  <si>
    <t>Resumindo pra quem tem dúvidas... #liberdadefinanceira #Boralucrar https://t.co/fLSQW6FPCU</t>
  </si>
  <si>
    <t>2,03 % sobre a banca 🥰 adoro rs #liberdadefinanceira #boralucrar #segueolider https://t.co/AAS2x6BtP8</t>
  </si>
  <si>
    <t>2,03 % sobre a banca 🥰 adoro rs #liberdadefinanceira #boralucrar #segueolider https://t.co/qb1OnnTl5B</t>
  </si>
  <si>
    <t>Começamos aqui 👀 #liberdadefinanceira #boralucrar #segueolider #rendimentos https://t.co/x9Fu6YMqW1</t>
  </si>
  <si>
    <t>1,51% ao dia e 15.08% #rendimentos #liberdadefinanceira #Starbets #boralucrar #segueolider https://t.co/8yZUxqGBOw</t>
  </si>
  <si>
    <t>Lucrando de qualquer lugar desse mundo 🌎... #liberdadefinanceira
#boralucrar #pracimaporra https://t.co/1ywkJC5ice</t>
  </si>
  <si>
    <t>Os bancos estão cada vez mais dificultando os empréstimos e o número de empréstimos vem caindo, isso normalmente acontece antes das recessões...
#bolsadevalores #stock #cripto #bitcoin #investimentos #liberdadefinanceira https://t.co/WFL08z8Vyi</t>
  </si>
  <si>
    <t>CARTÃO PRIVALIA BTG PACTUAL VALE A PENA | COMO FUNCIONA | SEM ANUIDADE
https://t.co/vXaflQwo0y
#Educacaofinanceira #liberdadefinanceira #independeciafinanceira #inteligenciafinanceira</t>
  </si>
  <si>
    <t>Não é preciso confiar em governos ou bancos para ter liberdade financeira. Com o Bitcoin, cada indivíduo é dono do próprio dinheiro e tem o poder de decidir como e quando usá-lo. #Bitcoin #AnCap #LiberdadeFinanceira</t>
  </si>
  <si>
    <t>📢  #Investimentos: estratégias, dicas e exemplos práticos.
Estratégias Inteligentes e Dicas Essenciais para Maximizar seus Investimentos e Alcançar a #LiberdadeFinanceira.
Saiba tudo 🎯 https://t.co/eSawKwZwvf 
#moneymarkets https://t.co/6VUJHmCwvW</t>
  </si>
  <si>
    <t>"Conquiste sua independência financeira e realize seus sonhos com Amei Cosméticos. Seja dono(a) do seu próprio sucesso e escreva sua história de empreendedorismo. #LiberdadeFinanceira #AmeiCosméticos https://t.co/41mj4Opme1</t>
  </si>
  <si>
    <t>Deixe sua opinião nos comentários e vamos continuar a discussão sobre como a tecnologia pode ajudar a promover mais liberdade financeira e privacidade para as pessoas. #Bitcoin #Criptomoedas #ResistênciaPacífica #LiberdadeFinanceira</t>
  </si>
  <si>
    <t>Comece hoje a mudar sua história,  viva o melhor da vida... ✨️
Siga no Instagram: @vendas.no_automatico ✅️
#liberdadefinanceira
#mercadodeafiliados
#trabalhandoemcasa
#mercadodigital https://t.co/xGJSktGDGH</t>
  </si>
  <si>
    <t>Oque vc faria com 1 milhão de reais? 
#dinheiro #riqueza #liberdade #liberdadefinanceira #rico</t>
  </si>
  <si>
    <t>✨✨✨
#liberdadefinanceira #marketingdigital #mulheresempoderadas #mulheresempreendedoras #extraordinário https://t.co/jBfscyBrQj</t>
  </si>
  <si>
    <t>💡A mentalidade mais correta no investimento de longo prazo deve ser ignorar o ruído e focar apenas nas coisas mais importantes.
https://t.co/lEQ1aDPc1r
#forex #forextrading #criptomoedas #Investimentos #euro #usd #sucesso #liberdadefinanceira https://t.co/axyMOYsZQX</t>
  </si>
  <si>
    <t>☀️Na parede de de George Soros se escreve:
"Nasci pobre, mas não devo morrer pobre!"
#motivação #sucesso #liberdadefinanceira #forex 
https://t.co/o1HyWm58M3 https://t.co/4xRVjx2NFT</t>
  </si>
  <si>
    <t>"A maioria dos investidores é orientada pela renda e quanto dinheiro eles podem ganhar, e presta pouca atenção ao risco e quanta perda eles podem suportar."-Seth Andrew Klarman
https://t.co/lEQ1aDPc1r
#forex #forextrading #iniciante #investimentos #riqueza #liberdadefinanceira https://t.co/VOAaDZ0WqB</t>
  </si>
  <si>
    <t>Vamos juntos rumo à liberdade financeira! [6/6]
#Investimentos #Criptomoedas #Ações #RendaVariável #LiberdadeFinanceira</t>
  </si>
  <si>
    <t>🫶🏻😎
#B3 #bolsadevalores #dividendos #rendapassiva #liberdadefinanceira https://t.co/bX2WVDpFJt</t>
  </si>
  <si>
    <t>Teaser Dom Investidor. Aqui você irá receber muito conteúdo de qualidade sobre Investimentos, Negócios, Renda extra e Independência Financeira.  Esse é só o começo, espero que vocês gostem, muito obrigado. #investimentos #liberdadefinanceira #negocios #rendaextra https://t.co/guy8cbWlXi</t>
  </si>
  <si>
    <t>Bald online auf #XinXii: Das #Ebook "A minha namorada é uma milionária. Die Übersetzung des deutschen Bestsellers auf Portugisisch. #empreendedoronline #liberdadefinanceira #áudiolivro #sejarico #mulheresdenegócios #milionária #jovemerico https://t.co/oAYp25D97W</t>
  </si>
  <si>
    <t>O que podemos esperar do Bitcoin e das altacoins em 2023?
Será que sobe ou desce?
Na dúvida eu vou de Bitcoin e ethereum e você?
https://t.co/oiSviXpkCc
#criptomoedas #bitcoins #ganhardinheiro #liberdadefinanceira</t>
  </si>
  <si>
    <t>Veja este vídeo do Instagram de @miguelnogueirabtc https://t.co/ejuGkVsWoj 
#brasil #sucesso #blockchain #dinheiro #investimento #trader #bitcoin #foco #blockchain #criptomoedas #binance #liberdadefinanceira #rendaextra</t>
  </si>
  <si>
    <t>Bitcoin e ethereum na lua?
 https://t.co/wnZiMKJvnr via @YouTube 
#Bitcoin #Ethereum #criptomoedas #CardanoCommunity  #shibainucoin #shibonk #GMX #gmxholder #gains #LIBERDADE #liberdadefinanceira</t>
  </si>
  <si>
    <t>Você tem ou não tem?
 https://t.co/bmJx64TQne via @YouTube 
#Bitcoin #Brasil #criptomoedas #Ethereum #liberdadefinanceira</t>
  </si>
  <si>
    <t>A Rebelião das Cryptos!
https://t.co/cfuCUd0gIq
#bitcoin #criptomoedas #ethereum #nft #binance #coinbase #shibainu #liberdadefinanceira #empreenda
https://t.co/Jo1Gx00fdy</t>
  </si>
  <si>
    <t>Bitcoin e criptomoedas, aprenda e lucre muito. https://t.co/OSVflLQzFA via @YouTube 
#bitcoin #criptomoedas #Ethereum #Brasil #investir #liberdadefinanceira</t>
  </si>
  <si>
    <t>Por que o Bitcoin é sensacional? 
https://t.co/rfbrNlq2H2 via @YouTube 
#Bitcoin #ethereum #binance #mercadobitcoin #criptomoedas #liberdade #liberdadefinanceira #Brasil #Flamengo #riqueza #otopatamá</t>
  </si>
  <si>
    <t>Arquétipo: é um conceito da psicologia utilizado para representar padrões de comportamento associados a um personagem ou papel social. A mãe, o sábio e o herói são exemplos de arquétipos. #liberdadefinanceira</t>
  </si>
  <si>
    <t>#finance #liberdadefinanceira #personalfinance #mercadofinanceiro #finances #educacaofinanceira #independenciafinanceira #planejamentofinanceiro #refinance #sucessofinanceiro https://t.co/93yAcgAtic</t>
  </si>
  <si>
    <t>A liberdade financeira é uma das grandes motivações para se tornar um empreendedor: planejamento financeiro, diversificação e resiliência.
#movaseempreendedor #empreender #liberdadefinanceira https://t.co/JF0v57p4rG</t>
  </si>
  <si>
    <t>💎 Porque coisas ruins acontecem com pessoas boas?
🔶️Filme: Frank vs. God 🎬
DM para crédito ou pedido de remoção (sem intenção de copyright) ©️ All rights and credits reserved to the respective owner(s).
#liberdadefinanceira #motivacao24h #fé 
https://t.co/4cS5Ol1mFq</t>
  </si>
  <si>
    <t>#Repost @cassius.stauffer
Vídeo antigo já prevendo a soltura de mais um corrupto.
#liberdadefinanceira 
#rendavariavel 
#rendapassiva 
#educacaofinanceira 
#investimento
#independênnciafinanceira
#economia
#criptomoedas
#motivação
#atualidades 
#desenvolvimentopessoal https://t.co/dlIvPSdHch</t>
  </si>
  <si>
    <t>☀️ Cada amanhecer oferece uma escolha: continuar sonhando ou começar a fazer. Qual é a sua escolha hoje? 🌙✨ #Tradedork #ForexTrading #LiberdadeFinanceira #AprendaTrading #PersigaSeusSonhos https://t.co/Fc9lPTHvwN</t>
  </si>
  <si>
    <t>👕📱 O verdadeiro investimento está na família, não nas aparências. Seu valor não está no que você veste ou carrega, mas nas suas prioridades. 💯👨‍👩‍👧‍👦 #Tradedork #ForexTrading #LiberdadeFinanceira #AprendaTrading #FamíliaAcimaDeTudo https://t.co/zfjLwEEZ62</t>
  </si>
  <si>
    <t>💪 Não é sobre motivação; é sobre disciplina. Faça, esteja você em alta ou em baixa—assim como o mercado. 📈📉 #Tradedork #ForexTrading #LiberdadeFinanceira #AprendaTrading #DisciplinaAcimaDeMotivação https://t.co/CQ1h96vSDF</t>
  </si>
  <si>
    <t>🙏 Disciplina e fé—seus não-negociáveis no caminho para o sucesso. É uma jornada solo, mas você nunca está sozinho. 💪🌅 #Tradedork #ForexTrading #LiberdadeFinanceira #AprendaTrading #SejaDisciplinado https://t.co/5hLriqYZeB</t>
  </si>
  <si>
    <t>Visualize sua vida dos sonhos por um momento. Sentiu? Agora escute: Você tem o poder de torná-la realidade. Vamos ao trabalho. ✨🛠️ #Tradedork #ForexTrading #LiberdadeFinanceira #AprendaTrading #ManifesteSuaVida https://t.co/7COP2ogsfH</t>
  </si>
  <si>
    <t>🙏 Disciplina e fé—seus não-negociáveis no caminho para o sucesso. É uma jornada solo, mas você nunca está sozinho. 💪🌅 #Tradedork #ForexTrading #LiberdadeFinanceira #AprendaTrading #SejaDisciplinado https://t.co/JlXi92n4H2</t>
  </si>
  <si>
    <t>Sua jornada para o sucesso não termina na mesa de trading. Almeje, trabalhe duro, e a liberdade virá a seguir. 📈🔒🗝️ #Tradedork #ForexTrading #LiberdadeFinanceira #AprendaTrading #DesbloquearLiberdade https://t.co/DsUqc6Hr0m</t>
  </si>
  <si>
    <t>👕📱 O verdadeiro investimento está na família, não nas aparências. Seu valor não está no que você veste ou carrega, mas nas suas prioridades. 💯👨‍👩‍👧‍👦 #Tradedork #ForexTrading #LiberdadeFinanceira #AprendaTrading #FamíliaAcimaDeTudo https://t.co/j6WExMnFLj</t>
  </si>
  <si>
    <t>📉 Assim como no trading, não invista em relações tóxicas por desespero. Conheça o seu valor e faça conexões sábias. 💼🚫🥤   #Tradedork #ForexTrading #LiberdadeFinanceira #AprendaTrading #ConheçaSeuValor https://t.co/S2eS7P7kc3</t>
  </si>
  <si>
    <t>📉 Assim como no trading, não invista em relações tóxicas por desespero. Conheça o seu valor e faça conexões sábias. 💼🚫🥤 #Tradedork #ForexTrading #LiberdadeFinanceira #AprendaTrading #ConheçaSeuValor https://t.co/MAp7HHOUsj</t>
  </si>
  <si>
    <t>Sua jornada para o sucesso não termina na mesa de trading. Almeje, trabalhe duro, e a liberdade virá a seguir. 📈🔒🗝️ #Tradedork #ForexTrading #LiberdadeFinanceira #AprendaTrading #DesbloquearLiberdade https://t.co/IRe4v12b96</t>
  </si>
  <si>
    <t>💞🙏
.
.
E-book top sobre importação de camisa de time Tailândesas 1:1 
Link na bio ☝☝☝☝☝☝ #espiritosanto #vendasonline #marketingdigital #liberdadefinanceira #motivação #futebol #time #foco #motivacao #objetivo #viverdeinternet #viverdevendas #importação #dji #drone # https://t.co/FUfYQ7TQ61</t>
  </si>
  <si>
    <t>💸 Desbloqueie seu potencial de investimento com a XZIBank. Baixe nosso aplicativo agora e desfrute de liberdade financeira e oportunidades. 
#XZIBank #LiberdadeFinanceira #Economia</t>
  </si>
  <si>
    <t>Katia Abreu nos encoraja a acreditar em nossos sonhos. Você está sonhando com sua liberdade financeira? 
Comece hoje sua jornada para tornar seus sonhos realidade com a Exnova! 💫 
Siga o link 👉 https://t.co/FW6eUfs6ln.
_
#Exnova #SonheGrande #KatiaAbreu #LiberdadeFinanceira https://t.co/YRruwaJ2kw</t>
  </si>
  <si>
    <t>💸 Aproveite essa oportunidade única! Acesse agora: https://t.co/DmHlVCx6hZ .  #VendaSemAparecer #NegócioOnline #LiberdadeFinanceira</t>
  </si>
  <si>
    <t>Para palestras e treinamentos - acesse https://t.co/aJVlshWR0s
#eleicoes #investimentos #dinheiro #bolsadevalores #investimento #mercadofinanceiro #finan #empreendedorismo #investir #liberdadefinanceira #sucesso #rendaextra #economia #educacaofinanceira #investidor # https://t.co/QIVUemvUal</t>
  </si>
  <si>
    <t>E ae?
.
#frasesdodia #frasesmotivacionais #frasesreflexivas #motivacao #mentalidademilionaria #futurosmillonarios #jovensdesucesso #sucessonavida #acrediteemvoce #mentalidadeempreendedora #liberdadefinanceira https://t.co/8kkpdZeNpu</t>
  </si>
  <si>
    <t>Vitalik Buterin, co-fundador do Ethereum, vê o Bitcoin como uma ferramenta de liberdade e uma forma de moeda verdadeiramente neutra e global.  #Bitcoin #VitalikButerin #Criptomoedas #Política #LiberdadeFinanceira #Digitalização #MoedaGlobal #Blockchain #Inovação #Futuro https://t.co/IC7PJ3pnph</t>
  </si>
  <si>
    <t>@EduardoGomesTO Atenção #Bitcoiners e amantes de #cripto! O senador está planejando aumentar as taxas de #criptomoedas, sufocando a inovação e a liberdade financeira. Se você valoriza o futuro descentralizado, pense duas vezes antes de dar seu apoio a esse senador #LiberdadeFinanceira</t>
  </si>
  <si>
    <t>"Criar hábitos saudáveis ​​de finanças é crucial para alcançar a liberdade financeira. #finanças #liberdadefinanceira #habitos"</t>
  </si>
  <si>
    <t>#oportunidades #rendaextra #liberdadefinanceira #horariosflexiveis #praticidade #comodidade #realizacoesprofissionais #treinamentos #lucros #vantagens #saudefinanceira #alimentacaosaudavel #crescimentopessoal #crescimentoprofissional #vantagens #viagens https://t.co/QL9A4TWo3r</t>
  </si>
  <si>
    <t>Vem pra Fuvir! 🔗 Link na biografia para explorar o poder do Fuvir! Junte-se ao movimento e liberte seu verdadeiro potencial! 💪💼 #OportunidadesDeInvestimento #PoderDoNetworking #VidaDeEmpreendedor  #LiberdadeFinanceira #CriadoresDeConteúdo #GestãoDeEquipe #RedeGlobal https://t.co/VEgbhXy2RX</t>
  </si>
  <si>
    <t>📈 Café com Bolsa ☕📊 06/01/23
IBOVESPA 2,19% Ontem
IFIX 0,31% Ontem
#investidorinteligente #liberdadefinanceira https://t.co/XQH4eYyXQt</t>
  </si>
  <si>
    <t>📈 Café com Bolsa ☕📊 02/01/23
#liberdadefinanceira #educacaofinanceira #cafecombolsa https://t.co/NHRhhGAU4n</t>
  </si>
  <si>
    <t>🚀 Quer impulsionar sua carreira no mundo do Marketing Digital OLHA ESSE ALUNA #MarketingDigital #suceso #liberdadefinanceira
Junte-se a nós e comece sua jornada no mundo emocionante do Marketing Digital! AULA GRATUITA LINK:https://t.co/d8Ci81mr6Z https://t.co/gRoOB4il3T</t>
  </si>
  <si>
    <t>🚀 Quer impulsionar sua carreira no mundo do #MarketingTips  Digital? 🌐#suceso #liberdadefinanceira
 comece sua jornada no mundo emocionante do #MarketingDigital  Digital! AULA GRATUITA LINK:https://t.co/d8Ci81mr6Z https://t.co/EDoRhdvERJ</t>
  </si>
  <si>
    <t>Voce NUNCA vai ficar rico enquanto vender sua hora! 🐀 #blackrat #marketingdigital #empreender
#liberdadefinanceira #afiliados #hotmart #prosperidade https://t.co/KWuq2eY0ow</t>
  </si>
  <si>
    <t>050/365 | O que é #LIBERDADE? Alguns dizem que é ñ fazer o que qr... eu qro gastar agora, mas sou livre pq ñ gasto! Se tratando de #dinheiro, a matemática da #liberdadefinanceira, segundo especialistas, é ter 250x o valor que vc entenda ser suficiente para manter seu padrão.</t>
  </si>
  <si>
    <t>093/365 | O 5º Princípio da #TeoriaDeDow é "toda tendência é confirmada". Uma andorinha sozinha não faz verão…
#analisetecnica #daytrade #swingtrade #scalptrade #dinheiro #investimento #mercadosfinanceiros #liberdadefinanceira #desenvolvimentopessoal #dividendos https://t.co/XzcvdZ7SEj</t>
  </si>
  <si>
    <t>Você deseja ser dono do seu dinheiro?
Conhece o #Bitcoin?
Se já tem alguns #Satochis de Bitcoin, parabéns você é dono do seu próprio dinheiro.
Se ainda não tem, nem conhece... Pare de perder tempo.
#BTC #dolar #Real #mercadofinaceiro #liberdadefinanceira #financas #investimento https://t.co/eRTbJn7O2m</t>
  </si>
  <si>
    <t>Brain Evolution System!
https://t.co/jiYvvsKR5E
#job #jobs #agencylife #seo #socialmedia #marketing #marketingagency #googleads #digitalmarketing #socialmediatips #finance #liberdadefinanceira #finances #mercadofinanceiro #personalfinance #financetips</t>
  </si>
  <si>
    <t>https://t.co/bZXtej15WT #mercadodigital #liberdadefinanceira #liberdadegeografica #homeoffice</t>
  </si>
  <si>
    <t>#Liberdadefinanceira #liberdadegeografica #mercadodigital #go
https://t.co/FjzC4gDBjr</t>
  </si>
  <si>
    <t>5 Financial Mistakes that Will Cost You Big
To be honest, we all make errors. What matters most, though, is how we learn from them. That being said, there are a few typical blunders.
Read More: https://t.co/5wM2TUZS5T
#finance #liberdadefinanceira #personalfinance  #finances https://t.co/vJeUVqfyIW</t>
  </si>
  <si>
    <t>SLK, não pode ,orgânico e vida #liberdadefinanceira #sucesso #empreendedorismo https://t.co/lA5qIinCn6</t>
  </si>
  <si>
    <t>🔵 MERCADO DE AÇÕES: Tudo que você precisa saber para começar a investir na bolsa de valores hoje!
https://t.co/p5S6WNpYIU
#Investimentos #liberdadefinanceira #trader #empreendedorismo #empreendedorismodigital #empreendedordesucesso #estrategia #estrategiasdemercadeo</t>
  </si>
  <si>
    <t>Acesse: https://t.co/lC3obLeEUd 
#Investimentos #liberdadefinanceira #trader #empreendedorismo #empreendedorismodigital #empreendedordesucesso #estrategia #estrategiasdemercadeo #persistencia #consistencia #sucesso #qualidadedevida #miamibeach #bmfbovespa #forex #sucesso https://t.co/bQ20ShlPfA</t>
  </si>
  <si>
    <t>Com a tecnologia e a internet cada vez mais presentes em nossas vidas, ganhar dinheiro online se tornou uma opção cada vez mais popular. 
#ganhardinheiroonline #trabalhoemcasa #liberdadefinanceira https://t.co/xNK5jrY8T5</t>
  </si>
  <si>
    <t>14/14 Com trabalho duro e persistência, é possível construir um negócio online bem-sucedido e alcançar a liberdade financeira que você deseja. #ganhardinheiroonline #trabalhoemcasa #liberdadefinanceira https://t.co/5fcnB2eDrt</t>
  </si>
  <si>
    <t>12/14 Além disso, esteja disposto a aprender e se atualizar constantemente, já que a tecnologia e as tendências de negócios estão sempre evoluindo. #ganhardinheiroonline #trabalhoemcasa #liberdadefinanceira</t>
  </si>
  <si>
    <t>10/14 Existem muitas plataformas que conectam redatores a clientes em potencial, como Upwork e Freelancer. #ganhardinheiroonline #trabalhoemcasa #liberdadefinanceira</t>
  </si>
  <si>
    <t>8/14 Essa pode ser uma maneira divertida e criativa de ganhar dinheiro, compartilhando suas ideias e conhecimentos com outras pessoas. #ganhardinheiroonline #trabalhoemcasa #liberdadefinanceira</t>
  </si>
  <si>
    <t>6/14 Pesquise as possibilidades e veja qual se encaixa melhor em seus objetivos. #ganhardinheiroonline #trabalhoemcasa #liberdadefinanceira</t>
  </si>
  <si>
    <t>4/14 Existem muitas oportunidades de negócios online, desde marketing digital até criação de conteúdo, e encontrar algo que você goste e seja bom é a chave para o sucesso. #ganhardinheiroonline #trabalhoemcasa #liberdadefinanceira</t>
  </si>
  <si>
    <t>Com a tecnologia e a internet cada vez mais presentes em nossas vidas, ganhar dinheiro online se tornou uma opção cada vez mais popular. 
#ganhardinheiroonline #trabalhoemcasa #liberdadefinanceira https://t.co/zCz6SRoycY</t>
  </si>
  <si>
    <t>@FelipeTadewald Pequenos investimentos levam a grandes mudanças. Celebre cada passo rumo à liberdade financeira. Cada grão conta. #LiberdadeFinanceira</t>
  </si>
  <si>
    <t>Desvendando o Papel da Psicanálise
#Liberdade   #liberdadefinanceira   #liberdadesp   #liderança
https://t.co/SIKVL83Vvc</t>
  </si>
  <si>
    <t>#Marketing #lifestyle #liberdadeFinanceira https://t.co/0KyCctnrtZ</t>
  </si>
  <si>
    <t>Você sabe o que é Marketing de Rede e conhece seus benefícios?
Leia nossa 1ª postagem semanal 👇
https://t.co/5S2bJmtLHg
#marketingderede #marketingmultinivel #mmnbrasil #negocios #robertkiyosaky #donaldtrump #rendapassiva #rendaresidual #liberdadefinanceira #empreendedorismo https://t.co/5k7LF6Bz9K</t>
  </si>
  <si>
    <t>DESCUBRA COMO CRIAR UM VENDEDOR ANÔNIMO QUE VAI TRABALHAR PARA VOCÊ 24 HORAS POR DIA, SEM PEDIR SALÁRIO E FÉRIAS VEM MUDAR SUA VIDA TAMBÉM. #jornada2x #GPA #CAIOCALDERARO #liberdadefinanceira #ganhanainternet  CLIQUI AQUI https://t.co/fyDnOKwQBu https://t.co/Vna9iLSfb4</t>
  </si>
  <si>
    <t>Criar pessoas que dependem de uma fonte de rendimento e mais tarde de subsídios é criar escravos modernos.
#rendimentos #escravos #liberdadefinanceira</t>
  </si>
  <si>
    <t>#liberdadeFinanceira https://t.co/4X4U1fxwqR</t>
  </si>
  <si>
    <t>https://t.co/9QmT5zl8Wf 
Descubra o segredo de como o iFood encontrou uma vinha de crescimento
#segredo #marketingdigital #iFood #comoganhardinheiropelainternet #marketingdeafiliados #liberdadefinanceira💸</t>
  </si>
  <si>
    <t>https://t.co/Bicv65Abry ]
Oportunidades democrticas no marketing digital comece sem dinheiro
#oportunidadesdenegocio #marketingdigital #comoganhardinheiro #comotersucessonomarketing #liberdadefinanceira</t>
  </si>
  <si>
    <t>https://t.co/lxR3zC5PbO 
Segredo do sucesso planejamento a longo prazo para vencer a ansiedade
#comotersucessonavida #marktingdigital #comoganhardinheironainternet #segredodosucesso #liberdadefinanceira</t>
  </si>
  <si>
    <t>O que acham?
Concordam?
#Liberdadefinanceira https://t.co/cDLqnr6gg9</t>
  </si>
  <si>
    <t>Você deseja ter uma renda extra sem precisar trabalhar 8h por dia? Então Siga estes Passos Simples!
.
.
.
.
 #liberdadefinanceira #sucesso #mentemilionária  #estratégiamilionária #independênciafinanceira #fyp https://t.co/n7gJEAjnEF</t>
  </si>
  <si>
    <t>Desejo que você: 
Fale inglês, beba francês, vista italiano, gaste como um árabe, e festeje como se todos os dias fossem réveillon.#empreendedorismo
#negócios
#sucesso
#investimentos
#dinheiro
#riqueza
#liberdadefinanceira
#estratégia
#liderança
#motivação
#mindset https://t.co/erAiTtdGCT</t>
  </si>
  <si>
    <t>Eu também não! E você? 
A liberdade financeira é alcançada através de educação financeira, disciplina e perseverança. Não é necessário ir para a faculdade para alcançá-la. #liberdadefinanceira #educaçãofinanceira #disciplina #perseverança #faculdade #educação #investimento https://t.co/gNKp6sSVmj</t>
  </si>
  <si>
    <t>Você está preso na corrida dos ratos? 
É hora de quebrar esse ciclo vicioso e assumir o controle das suas finanças e da sua vida! 
WhatsApp (51) 98520-8228
Site: https://t.co/DynjJ8DmMc
#consultoriafinanceira 
#assumaocontrole #liberdadefinanceira https://t.co/aGRfCr25w0</t>
  </si>
  <si>
    <t>Investir com sabedoria é a chave para a liberdade financeira! 
No último mês, ganhei mais de R$2.400 em dividendos, deixando o dinheiro trabalhar para mim. 
Uma jornada incrível rumo à prosperidade! 
#Investimentos #Dividendos #LiberdadeFinanceira 💰🚀 https://t.co/hJDw9JMBxe</t>
  </si>
  <si>
    <t>Deu green? Então é Afun!
É na Afun que você tem que estar na hora de apostar e curtir o melhor cassino online.
#diversao #jogosonline #rendaextra #liberdadefinanceira #afun https://t.co/kKZ0SIAXb2</t>
  </si>
  <si>
    <t>Pintou aquela vontade de se divertir apostando nos melhores jogos online? Vem dar green na Afun e lucrar muito!
Tá esperando o quê?https://t.co/JvHkDHlyiT e boa sorte!
#diversão #rendaextra #jogosonline #liberdadefinanceira https://t.co/5xd9TThet0</t>
  </si>
  <si>
    <t>"Transforme suas ideias em ouro 💰✨! Descubra o caminho para o sucesso financeiro e liberdade com #GranaTurbo. Não espere, ative o modo de prosperidade agora mesmo! 💸🚀 #Dinheiro #Sucesso #LiberdadeFinanceira" https://t.co/Im7dsGMTtb</t>
  </si>
  <si>
    <t>#Investimentos #MercadoFinanceiro #LiberdadeGeográfica #LiberdadeFinanceira #Oportunidades #Crescimento #Prosperidade #Conhecimento #EducaçãoFinanceira #TrabalhoRemoto #Flexibilidade #Persistência #IndependênciaFinanceira #RealizaçãoDeSonhos #ApoioProfissional</t>
  </si>
  <si>
    <t>Você já se perguntou como seria ter liberdade financeira e realizar seus sonhos? Descubra como os investimentos podem te ajudar a chegar lá! 💰✨ #Investimentos #LiberdadeFinanceira https://t.co/UxaU6GTq8y</t>
  </si>
  <si>
    <t>Sem dúvidas, então reverta seus valores, vire a chave e venha fazer parte da legião dos milionários!!!
 #mentalidadedesucesso #mentalidadepositiva #mentalidademilionária #liberdadefinanceira💰 #focoedisciplina #focosnosobjetivos https://t.co/TKe6qtSiyl</t>
  </si>
  <si>
    <t>Fique ausente por um tempo se nessesario para focar no seus objetivos, e não comente nada com ninguém, apenas mostre seus resultados finais!!!
#milionarios #mentalidademilionária #sucesso #liberdadefinanceira💰 #focoedisciplina https://t.co/sIvdYgxfGJ</t>
  </si>
  <si>
    <t>E você faz parte de qual porcentagem! 
 Comente sua opinião 👇
 #milionarios #liberdadefinanceira💰 #mentalidademilionária #empresarios #sucesso https://t.co/yStTfVOapi</t>
  </si>
  <si>
    <t>E você já está no caminho certo? 
 Comente abaixo 👇
 #mentalidademilionária #focoedisciplina #liberdadefinanceira💰 #pazmental #milionarios https://t.co/5kjbVzDSYb</t>
  </si>
  <si>
    <t>50% for needs, 20% for savings and debt, 30% for wants.
Get in Touch: @PARASBEHL7
Explore our expertise in:
Stocks | PMS | AIF | Mutual Funds | Startup Investments
#finance #liberdadefinanceira #personalfinance #mercadofinanceiro #finances #educacaofinanceira #ipo #refinance https://t.co/n8mNzOb2w8</t>
  </si>
  <si>
    <t>veja o post completo no instagram: https://t.co/JxIpzG965Q 
#Empreendedorismo #Negócios #IndependênciaFinanceira #PotencialDeGanhos #LiberdadeFinanceira #RealizaçãoPessoal #ControleFinanceiro https://t.co/CXxNJXnUhK</t>
  </si>
  <si>
    <t>Te ensino a faturar apenas com seu 📲
#viral #sucesso #empreendedorismo #liberdadefinanceira https://t.co/B6ZPjmG1lz</t>
  </si>
  <si>
    <t>Boa noite! Bom descanso!
@pensadoroficial 
#vida #vidaquesegue #vidalivre #liberdade #liberdadefinanceira #liberdadedeexpressão #liberdadeemocional em Cariri https://t.co/2yGJ39tms3</t>
  </si>
  <si>
    <t>Empreenda! 💵 Seja uma revendedora e tenha liberdade financeira ao seu alcance 😍💰
Nos chame e saiba mais 👇🏼
#revenda #revendedoras #empreendedorismofeminino #empreendedora #liberdadefinanceira em Gravataí https://t.co/zQHaThr9i0</t>
  </si>
  <si>
    <t>Aprenda a dizer "não" para gastos impulsivos e tenha um futuro financeiro mais seguro.
O controle financeiro é a base do sucesso💰
Dê um passo por vez!
Faça boas escolhas!
#ControleFinanceiro #Orçamento #FinançasPessoais #Finanças #LiberdadeFinanceira #EducaçãoFinanceira</t>
  </si>
  <si>
    <t>Seu futuro financeiro está nas suas mãos.
Aproveite as oportunidades de investimento e dê passos firmes em direção à liberdade financeira!💰
Faça boas escolhas!
#Investimentos #Investidores #Finanças #FinançasPessoais #LiberdadeFinanceira #ControleFinanceiro #Orçamento</t>
  </si>
  <si>
    <t>Descubra o segredo do sucesso financeiro: a educação financeira.
Aprenda sempre e colha os frutos de uma mente financeiramente instruída
Faça boas escolhas!
#EducaçãoFinanceira #Finanças #FinançasPessoais #ControleFinanceiro #LiberdadeFinanceira #Orçamento</t>
  </si>
  <si>
    <t>Descubra o poder do orçamento na transformação da sua vida financeira.
Saiba para onde vai cada centavo e faça escolhas conscientes com seu dinheiro💪💸
Isso realmente ajuda!
Faça boas escolhas!
#Orçamento #FinançasPessoais #Finanças #LiberdadeFinanceira #ControleFinanceiro</t>
  </si>
  <si>
    <t>Não deixe que suas finanças escapem por entre os dedos.
Acompanhe seus gastos, corte excessos e veja seu dinheiro render cada vez mais💼💰
Um passo por vez!
Faça boas escolhas!
#ControleFinanceiro #Finanças #FinançasPessoais #Orçamento #LiberdadeFinanceira #ControleFinanceiro</t>
  </si>
  <si>
    <t>Conheça as diferentes modalidades de investimento e encontre aquela que se alinha aos seus objetivos.
Transforme seu dinheiro em uma fonte de renda💰💡 
Comece com conhecimento!
Faça boas escolhas!
#Investimentos #Investidores #Finanças #FinançasPessoais #LiberdadeFinanceira</t>
  </si>
  <si>
    <t>Aprender a cuidar do seu $$$ é um investimento valioso para toda a vida.
Prepare-se para enfrentar os desafios financeiros com sabedoria💪💰
Ninguém pode fazer isso por você!
#EducaçãoFinanceira #FinançasPessoais #Finanças #Orçamento #ControleFinanceiro #LiberdadeFinanceira</t>
  </si>
  <si>
    <t>Aprenda a fazer escolhas conscientes com o seu dinheiro.
O poder está em SUAS MÃOS para alcançar a estabilidade financeira que deseja💼💰
Faça boas escolhas!
#FinançasPessoais #Orçamento #ControleFinanceiro #LiberdadeFinanceira #Finanças</t>
  </si>
  <si>
    <t>Liberdade financeira é ter a tranquilidade de fazer escolhas alinhadas aos seus valores e objetivos.
Trace seu caminho e conquiste sua independência!🗺️💸
Faça boas escolhas!
#LiberdadeFinanceira #Orçamento #ControleFinanceiro #FinançasPessoais #IndependênciaFinanceira</t>
  </si>
  <si>
    <t>Dê vida ao seu dinheiro com um orçamento bem estruturado.
Aproveite ao máximo seus recursos e alcance a liberdade financeira que tanto deseja.
Dê um passo por vez: comece agora
Faça boas escolhas!
#Orçamento #Finanças #FinançasPessoais #ControleFinanceiro #LiberdadeFinanceira</t>
  </si>
  <si>
    <t>Transforme o caos financeiro em organização e tranquilidade.
Controle suas finanças e desfrute da liberdade que o controle financeiro traz
Um passo por vez: comece do controle!
Faça boas escolhas!
#ControleFinanceiro #Finanças #FinançasPessoais #Orçamento #LiberdadeFinanceira</t>
  </si>
  <si>
    <t>A sabedoria dos investimentos está em diversificar suas aplicações.
Construa um portfólio sólido e proteja-se das incertezas do mercado financeiro
Dê um passo por vez!
Faça boas escolhas!
#Investimentos #Investidores #Finanças #FinançasPessoais #LiberdadeFinanceira</t>
  </si>
  <si>
    <t>Eduque-se financeiramente e transforme sua relação com o dinheiro.
Não há limites para o que você pode alcançar quando domina os princípios financeiros! 📚💰
Faça boas escolhas!
#EducaçãoFinanceira #Finanças #FinançasPessoais #LiberdadeFinanceira #ControleFinanceiro #Orçamento</t>
  </si>
  <si>
    <t>Viva a vida sem preocupações financeiras!
Aprenda a equilibrar suas receitas e despesas, e desfrute de uma vida financeiramente tranquila
Dê um passo por vez!
Faça boas escolhas!
#FinançasPessoais #Finanças #ControleFinanceiro #Orçamento #LiberdadeFinanceira #Dívidas</t>
  </si>
  <si>
    <t>A liberdade financeira é conquistada com disciplina, planejamento e persistência.
Controle suas finanças e caminhe em direção à sua liberdade🚀💸
Dê um passo por vez!
Faça boas escolhas!
#LiberdadeFinanceira #Finanças #FinançasPessoais #ControleFinanceiro #LiberdadeFinanceira</t>
  </si>
  <si>
    <t>Livre-se do peso das dívidas e construa um futuro financeiro mais próspero.
Acredite no seu potencial para superar os desafios e alcançar o sucesso💪💸
Dê um passo por vez!
Faça boas escolhas!
#SaídaDasDívidas #Dívidas #Finanças #FinançasPessoais #LiberdadeFinanceira</t>
  </si>
  <si>
    <t>O orçamento é a chave para a realização dos seus sonhos.
Trace metas financeiras claras e acompanhe seu progresso rumo ao sucesso financeiro💰
Faça boas escolhas!
#Orçamento #Finanças #FinançasPessoais #ControleFinanceiro #LiberdadeFinanceira #EducaçãoFinanceira</t>
  </si>
  <si>
    <t>Investir é plantar sementes financeiras para colher frutos no futuro.
Comece hoje mesmo a construir seu caminho para a independência financeira! 🌱💸
Faça boas escolhas!
#Investimentos #Investidores #FinançasPessoais #LiberdadeFinanceira #Orçamento #ControleFinanceiro</t>
  </si>
  <si>
    <t>Conhecimento é poder!
Desenvolva suas habilidades financeiras e tome decisões inteligentes que impulsionem sua vida financeira📚💡
Só você pode tomar decisões por você
Faça boas escolhas!
#EducaçãoFinanceira #FinançasPessoais #LiberdadeFinanceira #Orçamento #ControleFinanceiro</t>
  </si>
  <si>
    <t>Pequenas atitudes financeiras podem trazer grandes resultados.
Comece hoje mesmo a construir um futuro financeiramente saudável! 
Comece com essa boa escolha!
#FinançasPessoais #ControleFinanceiro #LiberdadeFinanceira #Orçamento</t>
  </si>
  <si>
    <t>A liberdade financeira é mais do que ter dinheiro, é ter controle sobre ele. Nada melhor do que você escolher o que quer fazer!
Trabalhe para alcançá-la e viva a vida que você sempre sonhou!💰
Faça boas escolhas!
#LiberdadeFinanceira #ControleFinanceiro #FinançasPessoais</t>
  </si>
  <si>
    <t>Dê o primeiro passo rumo à liberdade financeira: livre-se das dívidas.
Assuma o controle e construa um futuro financeiro mais estável e próspero. 💪
As dívidas correm seu patrimônio SEMPRE!
Faça boas escolhas!
#SaídaDasDívidas #Orçamento #FinançasPessoais #LiberdadeFinanceira</t>
  </si>
  <si>
    <t>Faça do orçamento seu melhor amigo financeiro.
Planeje, controle seus gastos e encontre o equilíbrio para uma vida financeira saudável. 💰💼 
Faça boas escolhas!
#Orçamento #FinançasPessoais #ControleFinanceiro #LiberdadeFinanceira</t>
  </si>
  <si>
    <t>A liberdade financeira não tem preço. 
Construa um futuro sólido, invista em si mesmo e desfrute da liberdade de viver a vida da forma que você deseja.
#LiberdadeFinanceira #ControleFinanceiro #Orçamento</t>
  </si>
  <si>
    <t>Saia do ciclo das dívidas e comece a construir um novo capítulo financeiro
Crie um plano de ação, comprometa-se, colha os frutos da sua dedicação
8 passos são suficientes!
#SaídaDasDívidas #Dívidas #Finanças #FinançasPessoais #ControleFinanceiro #LiberdadeFinanceira #Orçamento</t>
  </si>
  <si>
    <t>Planejamento financeiro é a chave para conquistar seus objetivos.
Trace metas claras e siga em frente rumo ao sucesso financeiro!
Saia das dívidas com controle e alcance sonhos planejando!
#FinançasPessoais #LiberdadeFinanceira #Finanças #Orçamento #PlanejamentoFinanceiro</t>
  </si>
  <si>
    <t>A liberdade financeira é a liberdade de ser quem você realmente é.
Não deixe que as amarras do dinheiro te prendam, busque a verdadeira realização!
Faça boas escolhas!
#LiberdadeFinanceira #Finanças #FinançasPessoais #ControleFinanceiro #Orçamento #EducaçãoFinanceira</t>
  </si>
  <si>
    <t>O caminho para a saída das dívidas começa com a determinação de mudar.
Acredite em si e dê passos firmes em direção à liberdade financeira🌟💰
Um passo por vez!
Faça boas escolhas!
#SaídaDasDívidas #Dívidas #Finanças #FinançasPessoais #ControleFinanceiro #LiberdadeFinanceira</t>
  </si>
  <si>
    <t>Você não está sozinho na jornada de saída das dívidas.
Busque orientação, crie um plano e veja as amarras financeiras se desfazendo💼💸
Faça boas escolhas!
#SaídaDasDívidas #Dívidas #FinançasPessoais #Orçamento #LiberdadeFinanceira #ControleFinanceiro</t>
  </si>
  <si>
    <t>O orçamento é a bússola que guia suas finanças.
Estabeleça prioridades, defina limites e construa uma base sólida para alcançar seus objetivos. 📊💡
Parece clichê? E é mesmo, mas alguns são bons!
#Orçamento #ControleFinanceiro #FinançasPessoais #LiberdadeFinanceira</t>
  </si>
  <si>
    <t>Domine suas finanças com disciplina e determinação.
Crie um planejamento financeiro sólido e garanta sua tranquilidade financeira💪💸
Você consegue!
Faça boas escolhas!
#ControleFinanceiro #FinançasPessoais #OrganizaçãoFinanceira #LiberdadeFinanceira #Orçamento</t>
  </si>
  <si>
    <t>TUDO DEPENDE DA SUA MENTALIDADE (MINDSET)
EVERYRHING IS ON YOUR MINDSET
#hustlersmotivationmz #LiberdadeFinanceira #sucesso #Motivation #motivação https://t.co/eLugnnJUte</t>
  </si>
  <si>
    <t>TUDO DEPENDE DA SUA MENTALIDADE
EVERYTHING IS ON TOUR MINDSET
#HustlersMotivationmz #sucesso #motivation #liberdadefinanceira https://t.co/Jb2ZD8Lr4N</t>
  </si>
  <si>
    <t>Se voce nao sonha, você não existe! Você pode realizar todos seus sonhos. "Pense"
If you don't dream, you don't exist! You can achieve all your dreams. "THINK"
#Liberdadefinanceira #sucesso #MarketingDifgital #educacaofinanceira #business https://t.co/dzR5av43XW</t>
  </si>
  <si>
    <t>"A independência financeira é a capacidade de fazer escolhas sem ser limitado pelo dinheiro." - Jean Chatzky
#investimentos 
#independenciafinanceira 
#rendapassiva 
#ibovespa 
#foco 
#disciplina 
#consistencia 
#intencionalidade 
#dinheiro
#liberdadefinanceira</t>
  </si>
  <si>
    <t>Para fazer um curso completo e conquistar sua liberdade financeira saiba mais no link https://t.co/wraze2Qy6H 
#liberdadefinanceira #formulanegocioonline https://t.co/HHyxsiwzA4</t>
  </si>
  <si>
    <t>Fórmula negócio online, fique sem crachá comece um negócio lucrativo iniciando do zero 
Saiba mais no link abaixo 
https://t.co/wraze2Qy6H 
#formulanegocioonline 
#semcracha
#liberdadefinanceira https://t.co/sxnU2OeDhJ</t>
  </si>
  <si>
    <t>💥SEM INVESTIR NADA, começa seu negócio online do zero, Conquiste sua LIBERDADE FINANCEIRA, saiba mais no link
🔗 https://t.co/wraze2Qy6H 
#liberdadefinanceira
#formulanegocioonline https://t.co/MWFTIII6ag</t>
  </si>
  <si>
    <t>Comece agora mesmo no marketing de afiliado e conquiste uma renda extra através do curso Fórmula Negócio Online com o Alex Vargas 
Saiba mais no link abaixo 
https://t.co/ZBAODPS7UE
#negociodigital #rendaextra #liberdadefinanceira #trabalheemcasa https://t.co/iVegNFM4wh</t>
  </si>
  <si>
    <t>Fórmula negócio online, veja que bacana esse depoimento de um aluno que está fatura depois de fazer o curso FNO do Alex Vargas.
Seja im vencedor também 
Acesse o link abaixo 
https://t.co/ZBAODPS7UE
#formulanegocioonline #rendaextra #trabalheemcasa #liberdadefinanceira https://t.co/8tjvJQfbVT</t>
  </si>
  <si>
    <t>Conheça o que realmente vai te trazer resultados, o Fórmula Negócio Online vai do básico ao avançado para você criar um negócio online lucrativo. Saiba mais no link abaixo 
https://t.co/wraze2Qy6H 
#liberdadefinanceira #rendaextra https://t.co/EJcIFdmqjG</t>
  </si>
  <si>
    <t>Venha para o Fórmula Negócio Online  é conquiste sua liberdade financeira 
Saiba mais no link 
https://t.co/ZBAODPS7UE 
#liberdadefinanceira #rendaextra #formulanegocioonline https://t.co/2rMl9jPxWF</t>
  </si>
  <si>
    <t>Vem começar o dia bem informado.
#investidor #dinheiro #investimento #news #noticia #investidores #saopaulo #mercadofinaceiro #daytrade #economia #brasil #liberdadefinanceira #assessoria #btg #bolsadevalores #brasil #sp #btg https://t.co/GugDI5UlY5</t>
  </si>
  <si>
    <t>As vezes precisamos parar e nos perguntar a origem dos nossos desejos e a onde queremos chegar. Só assim você perceberá se há sentido nessa trajetória, e portanto, tomará as melhores decisões para uma vida inteira e não apenas para esse momento fugaz. 
#liberdadefinanceira</t>
  </si>
  <si>
    <t>Liberdade financeira é nome.. 
Sem sair de casa, sem aparecer e sem postar absolutamente nada.
Vamos viver o extraordinário? Me chama que rinite ajudo! 
Se você não luta pelo futuro que quer, tem que aceitar o que vier. 
#MarketingDigital #liberdadefinanceira https://t.co/CGjGlsGDpq</t>
  </si>
  <si>
    <t>@bitfinex @MyfirstBitcoin_ Incrível o trabalho que a Bitfinex vem realizado em El Salvador! #LiberdadeFinanceira só é verdadeira em #Bitcoin!</t>
  </si>
  <si>
    <t>Vou me sentir um pequeno burguês capitalista quando tiver de pagar 28% de irs sobre os meus loucos 8 euros de lucros em dividendos do ano passado. #Portugal #liberdadefinanceira #bolsadevalores #thedividendladder</t>
  </si>
  <si>
    <t>Inclusão Financeira
A Web3 pode fornecer acesso a serviços financeiros a pessoas que não têm acesso a sistemas financeiros tradicionais.
#liberdadefinanceira</t>
  </si>
  <si>
    <t>A favela venceu?#liberdadefinanceira 
#rendavariavel 
#rendapassiva 
#educacaofinanceira 
#investimento
#independênnciafinanceira
#economia
#criptomoedas
#motivação
#atualidades 
#desenvolvimentopessoal
#desenvolvimentoprofissional
#empreendedorismo 
#utilidadepública https://t.co/zH0X9TVSyp</t>
  </si>
  <si>
    <t>Como anda teu plano para #aposentadoria (antecipada, se possivel)?
#FIRE
#investimentos
#independenciafinanceira
#liberdadefinanceira</t>
  </si>
  <si>
    <t>"O futuro é construído pelas escolhas de hoje, e cada passo ousado é um tijolo na estrada do sucesso."
#liberdadefinanceira #sucesso</t>
  </si>
  <si>
    <t>Não deixes para amanhã, o que podes fazer hoje.
Se queres aprender como ganhar dinheiro apenas com a internet e o teu telemóvel, comenta “ eu quero “ que eu irei ajudar-te.
#rendaextra
#mercadodigital
#fazacontecer
#liberdadegeográfica
#liberdadefinanceira https://t.co/L67uhKwpNT</t>
  </si>
  <si>
    <t>Deixa de procrastinar o que tem o poder de revolucionar a tua vida. Abandona a tua zona de conforto e abraça um caminho de constante evolução. 🚀🚀
#marketingdigital #rendaextra #afiliada
#liberdadefinanceira #liberdadegeografica #vendas #hotmart #mulheresempoderadas #sonhos https://t.co/lXEO9joOaE</t>
  </si>
  <si>
    <t>A liberdade financeira não é um destino, é uma jornada. Não percas mais tempo e começa já hoje a tua. 
— Comenta “ eu “ que irei explicar-te como. 🚀
#foryou
#marketingdigital #rendaextra #afiliada
#liberdadefinanceira #liberdadegeografica #vendas #mulheresempoderadas #sonhos https://t.co/XkS4J5HNSJ</t>
  </si>
  <si>
    <t>E se der certo??❣️🍇 #liberdadefinanceira #empreendedorismofeminino  #lei... https://t.co/0XvOsB6Nbo via @YouTube</t>
  </si>
  <si>
    <t>E se der certo??❣️🍇 #liberdadefinanceira #empreendedorismofeminino  #leidaatração
https://t.co/0XvOsB6Nbo</t>
  </si>
  <si>
    <t>E se der certo??❣️🍇 #liberdadefinanceira #empreendedorismofeminino  #lei... https://t.co/0XvOsB6flQ via @YouTube https://t.co/fAxPnAOqq7</t>
  </si>
  <si>
    <t>E se der certo??❣️🍇 #liberdadefinanceira #empreendedorismofeminino  #leidaatração Confira o vídeo de May Brand! #TikTok https://t.co/nTszFuGrqe</t>
  </si>
  <si>
    <t>E se der certo??❣️🍇 #liberdadefinanceira #empreendedorismofeminino  #leidaatração  https://t.co/MAQNqtUDbb</t>
  </si>
  <si>
    <t>E se der certo??❣️🍇 #liberdadefinanceira #empreendedorismofeminino  #lei... https://t.co/0XvOsB6flQ via @YouTube</t>
  </si>
  <si>
    <t>E se der certo?? Tá c roupa pra isso❣️🍇 
#liberdadefinanceira 
Confira o vídeo de May Brand! #TikTok https://t.co/DR21fKjRZ4</t>
  </si>
  <si>
    <t>E se der certo?? Tá c roupa pra isso❣️🍇 
#liberdadefinanceira  https://t.co/MAQNqtUDbb</t>
  </si>
  <si>
    <t>O povo está acordando para o fato de que comprar #Bitcoin é a melhor maneira de proteger o seu dinheiro. #Investimentos #Criptomoeda #Finanças #Sucesso #LiberdadeFinanceira</t>
  </si>
  <si>
    <t>"Poupa como um pessimista. Investe como um optimista" - Morgan Housel
#poupar #investir #investimentos #longoprazo #finançaspessoais #financaspessoais
#dinheiro #bolsa #liberdadefinanceira
#habitosfinanceiros #sucesso
#mentalidade #frugalidade</t>
  </si>
  <si>
    <t>💰💻🙌 Atlantic Bank é a liberdade financeira na palma das suas mãos! 🚀🌟 Com a gente, você está preparado para qualquer situação, seja para se divertir ou lidar com imprevistos. 
 #banco #bancoonline #liberdadefinanceira #tudonamão #imprevistos #diversão #atlanticbank https://t.co/WRsGsizpfc</t>
  </si>
  <si>
    <t>Viver é melhor que sonhar!
#viver #carreira #mentoriadecarreira #liberdadefinanceira #crisspellegrin</t>
  </si>
  <si>
    <t>Rumo a liberdade financeira: Reflita e anote todos os seus gastos. O segredo para poupar está na organização de entradas e saídas do seu dinheiro. Esta é uma dica simples, mas que faz toda diferença. 
#neoin #dicasdeinvestimentos #liberdadefinanceira</t>
  </si>
  <si>
    <t>“Hire From Anywhere”. 80% dos profissionais brasileiros estão interessados ​​em trabalhar remotamente. 60% das empresas já oferecem opções de trabalho remoto. As oportunidades vão surgir, mas a pergunta certa é, você está preparado? #VemSerEvovee #liberdadefinanceira 👨‍💻👩‍💼🚀 https://t.co/UYtGbKcl19</t>
  </si>
  <si>
    <t>💰🚀
.
.
.
.
.
#fy #fyp #fypage #rendaextra #dinheiroextra #business #viral #comoganhardinheiro #luxurylifestyle #liberdadefinanceira #motivacao #reflexão #reelsvideo https://t.co/6KuAttillk</t>
  </si>
  <si>
    <t>Uma troca justa pra mim. 
Aprenda a fazer dinheiro na internet hoje mesmo!
Clica no link abaixo que vou te ensinar.💰
https://t.co/AzcXzEYJbR
.
.
.
#sucesso #empreendedorismo #liberdadefinanceira #marketingdigital #afiliados https://t.co/w8rW8U3Fxg</t>
  </si>
  <si>
    <t>Eu vou vencer🚀💰
.
.
.
.
#Twiter #rendaextra #dinheiroextra #business #MarketingDigital #afiliado #liberdadefinanceira #comoganhardinheiro #motivacao https://t.co/l5IfRuBW7Z</t>
  </si>
  <si>
    <t>❓Cansado de viver sem dinheiro?
👉🏽Clica no link abaixo que vou te ensinar a fazer dinheiro ainda hoje usando apenas o seu CELULAR💰🤑
https://t.co/2akVvscfrT
.
.
.
.
.
#empreendedorismo #sucesso #liberdadefinanceira #rendaextra #dinheiroonline https://t.co/OJtuU8MQBu</t>
  </si>
  <si>
    <t>Eu nunca irei desistir!
❓Cansado de viver sem dinheiro?
👉🏽Clica no link abaixo que vou te ensinar a fazer dinheiro ainda hoje usando apenas o seu CELULAR💰🤑
https://t.co/2akVvscfrT
.
.
.
.
.
#empreendedorismo #sucesso #liberdadefinanceira #rendaextra #dinheiroonline https://t.co/gYusBXKcG7</t>
  </si>
  <si>
    <t>🔱💰
❓Cansado de viver sem dinheiro?
👉🏽Clica no link abaixo que vou te ensinar a fazer dinheiro ainda hoje usando apenas o seu CELULAR💰🤑
https://t.co/2akVvscfrT
.
.
.
.
.
#empreendedorismo #sucesso #liberdadefinanceira #rendaextra #dinheiroonline https://t.co/q44LClvYtg</t>
  </si>
  <si>
    <t>Mude enquanto a tempo!
👉🏽Clica no link abaixo que vou te ensinar a fazer dinheiro ainda hoje usando apenas o seu CELULAR💰🤑
https://t.co/2akVvscfrT
.
.
.
.
.
#empreendedorismo #sucesso #liberdadefinanceira #rendaextra #dinheiroonline https://t.co/ZYXmQ2ilzT</t>
  </si>
  <si>
    <t>Jovem aprendiz?
❓Cansado de viver sem dinheiro?
👉🏽Clica no link abaixo que vou te ensinar a fazer dinheiro ainda hoje usando apenas o seu CELULAR💰🤑
https://t.co/AzcXzEYJbR
.
.
.
.
.
#empreendedorismo #sucesso #liberdadefinanceira #rendaextra #dinheiroonline https://t.co/irM0H9nl5d</t>
  </si>
  <si>
    <t>💰🤫
❓Cansado de viver sem dinheiro?
👉🏽Clica no link abaixo que vou te ensinar a fazer dinheiro ainda hoje usando apenas o seu CELULAR💰🤑
https://t.co/2akVvscfrT
.
.
.
.
.
#empreendedorismo #sucesso #liberdadefinanceira #rendaextra #dinheiroonline https://t.co/O4suAn5ids</t>
  </si>
  <si>
    <t>Nota zero😂👎🏽
👉🏽Clica no link abaixo que vou te ensinar a fazer dinheiro ainda hoje usando apenas o seu CELULAR💰🤑
https://t.co/2akVvscfrT
.
.
.
.
.
#empreendedorismo #sucesso #liberdadefinanceira #rendaextra #dinheiroonline https://t.co/9yoydv9ncj</t>
  </si>
  <si>
    <t>E deu certo💰🙏🏽
👉🏽Clica no link abaixo que vou te ensinar a fazer dinheiro ainda hoje usando apenas o seu CELULAR💰🤑
https://t.co/2akVvscfrT
.
.
.
.
.
#empreendedorismo #sucesso #liberdadefinanceira #rendaextra #dinheiroonline https://t.co/5Bhw62If2n</t>
  </si>
  <si>
    <t>Minha rotina preferida🤑
❓Cansado de viver sem dinheiro?
👉🏽Clica no link abaixo que vou te ensinar a fazer dinheiro ainda hoje usando apenas o seu CELULAR💰🤑
https://t.co/2akVvscfrT
.
.
.
.
.
#empreendedorismo #sucesso #liberdadefinanceira #rendaextra #dinheiroonline https://t.co/BSSGlfgbPO</t>
  </si>
  <si>
    <t>🔱💰
❓Cansado de viver sem dinheiro?
👉🏽Clica no link abaixo que vou te ensinar a fazer dinheiro ainda hoje usando apenas o seu CELULAR💰🤑
https://t.co/2akVvscfrT
.
.
.
.
.
#empreendedorismo #sucesso #liberdadefinanceira #rendaextra #dinheiroonline https://t.co/2KdebAYs7z</t>
  </si>
  <si>
    <t>Não caia na matrix 
❓Cansado de viver sem dinheiro?
👉🏽Clica no link abaixo que vou te ensinar a fazer dinheiro ainda hoje usando apenas o seu CELULAR💰🤑
https://t.co/2akVvscfrT
.
.
.
.
.
#empreendedorismo #sucesso #liberdadefinanceira #rendaextra #dinheiroonline https://t.co/0Gv8SkgH1J</t>
  </si>
  <si>
    <t>Aprenda a fazer dinheiro na internet hoje mesmo!
Clica no link abaixo que vou te ensinar.💰
https://t.co/2akVvscfrT
.
.
.
#sucesso #empreendedorismo #liberdadefinanceira #marketingdigital #afiliado https://t.co/jN3eO2wSPV</t>
  </si>
  <si>
    <t>Aprenda a fazer dinheiro na internet hoje mesmo!
Clica no link abaixo que vou te ensinar.💰
https://t.co/2akVvscfrT
.
.
.
#sucesso #empreendedorismo #liberdadefinanceira #marketingdigital #afiliado https://t.co/4l2VfPStCf</t>
  </si>
  <si>
    <t>Eu nem vou perder meu tempo😂💰
❓Cansado de viver sem dinheiro?
👉🏽Clica no link abaixo que vou te ensinar a fazer dinheiro ainda hoje usando apenas o seu CELULAR💰🤑
https://t.co/2akVvscfrT
.
.
.
.
.
#empreendedorismo #sucesso #liberdadefinanceira #rendaextra #dinheiroonline https://t.co/0FYy1s37ew</t>
  </si>
  <si>
    <t>Seja diferente dos outros 💸👨🏽‍💻
❓Cansado de viver sem dinheiro?
👉🏽Clica no link abaixo que vou te ensinar a fazer dinheiro ainda hoje usando apenas o seu CELULAR💰🤑
https://t.co/2akVvscfrT
.
.
.
.
.
#empreendedorismo #sucesso #liberdadefinanceira #rendaextra #dinheiroonline https://t.co/kCewvSRDQW</t>
  </si>
  <si>
    <t>Aguardem…
👉🏽Clica no link abaixo que vou te ensinar a fazer dinheiro ainda hoje usando apenas o seu CELULAR💰🤑
https://t.co/2akVvscfrT
.
.
.
.
.
#empreendedorismo #sucesso #liberdadefinanceira #rendaextra #dinheiroonline https://t.co/OlOVvgLskD</t>
  </si>
  <si>
    <t>Oque esse cara tá falando?😂
❓Cansado de viver sem dinheiro?
👉🏽Clica no link abaixo que vou te ensinar a fazer dinheiro ainda hoje usando apenas o seu CELULAR💰🤑
https://t.co/2akVvscfrT
.
.
.
.
.
#empreendedorismo #sucesso #liberdadefinanceira #rendaextra #dinheiroonline https://t.co/BZP60wulI3</t>
  </si>
  <si>
    <t>Não perca mais tempo! 
Aprenda a fazer dinheiro na internet hoje mesmo!
Clica no link abaixo que vou te ensinar.💰
https://t.co/2akVvscfrT
.
.
.
#sucesso #empreendedorismo #liberdadefinanceira #marketingdigital #afiliado https://t.co/H2EkcorAKy</t>
  </si>
  <si>
    <t>O primeiro milionário🔱💰
Aprenda a fazer dinheiro na internet hoje mesmo!
Clica no link abaixo que vou te ensinar.💰
https://t.co/2akVvscfrT
.
.
.
#sucesso #empreendedorismo #liberdadefinanceira #marketingdigital #afiliado https://t.co/Ks39pYHKQD</t>
  </si>
  <si>
    <t>Vire um fantasma.
Clica no link da bio para aprender a fazer dinheiro na internet usando apenas seu celular💰📲
.
.
.
.
.
#dicas #comoganhardinheiro #dinheiro #marketingdigital #afiliadosiniciantes #empreendedorismo #liberdadefinanceira #rendaextra #rendaextra https://t.co/trN3EIf1O1</t>
  </si>
  <si>
    <t>#ganhedinheiroextra
#trabalheondequiser
#trabalheemcasa
#marketingdeafiliados
#dinheiroonline
#dinheironainternet
#rendaextra
#oportunidade
#liberdadefinanceira
#sucesso https://t.co/QK4eokXM7f</t>
  </si>
  <si>
    <t>Tenha sempre o seu patrimônio amparado por uma gestão de risco. Queremos acreditar que #Americanas fará uma correção na rota.
#CriseLojaAmericanas #economiaBrasil #rentabilidadecomseguranca #bimanager #criptomoeda #liberdadefinanceira #mundocripto #locacaodeativosdigitais</t>
  </si>
  <si>
    <t>#vidafinanceira precisa de equilíbrio entre receita e despesa. Analise bem o que pretende comprar, e pesquise, pesquise e pesquise.
#promocao #compras #desconto #rentabilidadecomseguranca #sejabimanager #crypto #liberdadefinanceira #sobredinheiro</t>
  </si>
  <si>
    <t>Durante um longo inverno cripto, o índice tinha permanecido em zonas de "medo" e "medo extremo".
#IndiceDeMedo #riscocripto #rentabilidadecomseguranca #bimanager #crypto #moedadigital #criptoeconomia #liberdadefinanceira #mundocripto #locacaodeativosdigitais</t>
  </si>
  <si>
    <t>Mas não podemos nos guiar somente por altas iniciais. É preciso entender o propósito do projeto.
#eliminacao #realitycripto #bimanager #criptomoeda #bitcoin #criptoeconomia #liberdadefinanceira #mundocripto #locacaodeativosdigitais</t>
  </si>
  <si>
    <t>A nova era começou. Escolha o lado certo, antes que seja tarde.
https://t.co/jHCeCA2AM7
#liberdadefinanceira #proteja-se #família #sistema #matrix #investimento #analise #criptomoeda #altcoins #sucesso #liberdade #vida #riquesa #btc #eth #conquista https://t.co/0KldG1fWoZ</t>
  </si>
  <si>
    <t>#mercadodeopções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</si>
  <si>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t>
  </si>
  <si>
    <t>#mercadofuturo #mercadodeopções #derivativos #investimentos #educaçãofinanceira #finanças #prosperidade #prosperidadefinanceira #liberdadefinanceira #macroeconomia #bolsadechicago #mercadoamericano</t>
  </si>
  <si>
    <t>#mercadofinanceiro #mercadofuturo #mercadodeopções #derivativos #investimentos #educaçãofinanceira #finanças #prosperidade #prosperidadefinanceira #liberdadefinanceira #macroeconomia #bolsadechicago #mercadoamericano</t>
  </si>
  <si>
    <t>#educaçãofinanceira #finanças #prosperidade #prosperidadefinanceira #liberdadefinanceira #macroeconomia #reformatributaria</t>
  </si>
  <si>
    <t>#mercadofinanceiro #mercadofuturo #mercadodeopções #derivativos #investimentos #educaçãofinanceira #finanças #prosperidade #prosperidadefinanceira #liberdadefinanceira #macroeconomia</t>
  </si>
  <si>
    <t>#investimentos #educaçãofinanceira #finanças #prosperidade #prosperidadefinanceira #liberdadefinanceira #macroeconomia #bolsadechicago #mercadoamericano</t>
  </si>
  <si>
    <t>#mercadodeopções #derivativos #investimentos #educaçãofinanceira #finanças #prosperidade #prosperidadefinanceira #liberdadefinanceira #macroeconomia</t>
  </si>
  <si>
    <t>#investimentos #educaçãofinanceira #finanças #prosperidade #prosperidadefinanceira #liberdadefinanceira #macroeconomia</t>
  </si>
  <si>
    <t>#investimentos #educaçãofinanceira #finanças #prosperidade #prosperidadefinanceira #liberdadefinanceira #macroeconomia #bolsadechicago #mercadoamericano #agrobrasil #agronegocio</t>
  </si>
  <si>
    <t>O medo literalmente é um fator crucial para as maioria das pessoas conseguirem dar os primeiros em direção a Liberdade Financeira.
#liberdadefinanceira #medo #empreendedorismo https://t.co/Tlab7p9UFd</t>
  </si>
  <si>
    <t>#aumentescore #7dias #liberdadefinanceira #oportunidades #estrategiacomprovada #pontuacao #emprestimos #financiamentos #cartoesdecredito #melhorescondicoes #futurofinanceiro #acelereseuscore #umasemana #conquistesuavida https://t.co/Lv9cb4lxht</t>
  </si>
  <si>
    <t>#aumentescore #7dias #liberdadefinanceira #oportunidades #estrategiacomprovada #pontuacao #emprestimos #financiamentos #cartoesdecredito #melhorescondicoes #futurofinanceiro #acelereseuscore #umasemana #conquistesuavida https://t.co/w9ks0kk0M3</t>
  </si>
  <si>
    <t>#aumentescore #7dias #liberdadefinanceira #oportunidades #estrategiacomprovada #pontuacao #emprestimos #financiamentos #cartoesdecredito #melhorescondicoes #futurofinanceiro #acelereseuscore #umasemana #conquistesuavida https://t.co/jDrYeFRHXJ</t>
  </si>
  <si>
    <t>#aumentescore #7dias #liberdadefinanceira #oportunidades #estrategiacomprovada #pontuacao #emprestimos #financiamentos #cartoesdecredito #melhorescondicoes #futurofinanceiro #acelereseuscore #umasemana #conquistesuavida https://t.co/aft5FPjxkt</t>
  </si>
  <si>
    <t>#aumentescore #7dias #liberdadefinanceira #oportunidades #estrategiacomprovada #pontuacao #emprestimos #financiamentos #cartoesdecredito #melhorescondicoes #futurofinanceiro #acelereseuscore #umasemana #conquistesuavida</t>
  </si>
  <si>
    <t>Concordas com o #robertkiyosaki ? #liberdadefinanceira #quadrantedodinheiro https://t.co/PFSIstIPIG</t>
  </si>
  <si>
    <t>Se você está deixando dinheiro no savings account, você está perdendo dinheiro.  #finanças #liberdadefinanceira https://t.co/MFl0SCBqqu</t>
  </si>
  <si>
    <t>Tempo, não o dinheiro, e sua ferramenta de construção de riqueza. #liberdadefinançeira #investir #brinainvest https://t.co/PR4frJi5cs</t>
  </si>
  <si>
    <t>Pensando em comprar uma casa nos Estados Unidos? Acessibilidade e taxas de juros indicam que o momento não é ideal para comprar. #finanças #liberdadefinanceira https://t.co/tr7XSWgzXn</t>
  </si>
  <si>
    <t>Fundos imobiliários que custam menos de 10 R$! https://t.co/7Xpjlgahck via @YouTube 
#fii #fundosdeinvestimento #dividendos #aposentadoria #liberdadefinanceira #dinheiro</t>
  </si>
  <si>
    <t>Não há sensação melhor do que ter todas as dívidas pagas e sentir a liberdade financeira! 💰💸🙌 Pena que não é o meu caso! #liberdadefinanceira #vidafinanceira #dinheiro #felicidade #gratidão https://t.co/E9okdORKjb</t>
  </si>
  <si>
    <t>Confira o vídeo de mente__millionaria__! #TikTok https://t.co/HqiCWqh5a1  #frasesdodia #frasesmotivacionais
#frasesreflexivas #motivacao
#mentalidademilionaria #futurosmilionarios #jovensdesucesso
#sucessonavida #acrediteemvoce
#mentalidadeempreendedora
#liberdadefinanceira</t>
  </si>
  <si>
    <t>💰 A jornada para uma vida financeiramente tranquila e segura é um processo contínuo. A paciência e persistência devem fazer parte de seus esforços para alcançar seus objetivos.
#objetivos #financaspessoais #planejamentofinanceiro #liberdadefinanceira #dicasfinanceiras</t>
  </si>
  <si>
    <t>Siga-me para ter uma liberdade financeira 🧠💸
#viral #lifestyle #dinheiro #LIBERDADE #sucesso #Prosperity #liberdadefinanceira https://t.co/B5EqZjQKmJ</t>
  </si>
  <si>
    <t>Como o juros afeta seu banco digital? E sua vida?
https://t.co/5vOAeTWBVM
#wagnergeremia #ondeinvestir #educaçãofinanceira #debentures #bolsadevalores #tesourodireto #patrimonio #liberdadefinanceira #copom #selic #bacen #inflation #inflacao #juros #dinheiro</t>
  </si>
  <si>
    <t>Investindo em ações para longo prazo com o objetivo de alcançar a liberdade financeira, p/ poder desfrutar mais  vezes de viagens para lugares especiais como esse. 
#liberdadefinanceira #Investimentos #longoprazo #BuyAndHold #rendavariavel #investindocomestrategia #pequenosocio https://t.co/Hpa8wjNZXQ</t>
  </si>
  <si>
    <t>Eficiência, moralidade e equilíbrio. Esses são os pilares da economia saudável e democrática.
Saiba mais: https://t.co/1YCZKCH6vK
#Criptomoedas #EconomiaSaudável #LiberdadeFinanceira #economia #moralidade #distribuiçãoderecursos #doações #sobrevivência #satisfaçãoindividual https://t.co/pQHL5Qc57z</t>
  </si>
  <si>
    <t>A liberdade financeira nos da conforto e poder de fazer escolhas financeiras saudáveis.
#fmc
#escritoriofmc
#liberdadefinanceira
#finanças
#educaçãofinanceira
#escolhas https://t.co/acF6EtZBi1</t>
  </si>
  <si>
    <t>Busque a independência financeira e conquiste a liberdade de realizar seus sonhos ✨
#fmc 
#escritoriofmc 
#francel 
#educaçãofinanceira
#liberdadefinanceira
#sonhos https://t.co/8r7FQalB6z</t>
  </si>
  <si>
    <t>Traveling and operating.📊💻
Knowing that I can take my work with me anywhere (with internet lol) I go is amazing!
But let's go slowly... I don't live the philosophy of #lifetrader trade from the beach.
#mercadofinanceiro #bolsadevalores #investimentos
#liberdadefinanceira https://t.co/xFS3POcvg9</t>
  </si>
  <si>
    <t>Quer economizar dinheiro e ter mais liberdade financeira? Comece por analisar seus gastos e identificar áreas onde você pode cortar custos desnecessários. #economia #liberdadefinanceira</t>
  </si>
  <si>
    <t>7.  Pague suas dívidas: Reduza o endividamento, evitando gastos com cartões de crédito e outros empréstimos. Se você já está endividado, priorize o pagamento das dívidas para reduzir juros e multas. #liberdadefinanceira</t>
  </si>
  <si>
    <t>Vem que eu te ensino, link na bio 🤑💸 #rendaextra #MarketingDigital #liberdadefinanceira #sucesso #empreendedorismo https://t.co/rPqOT0XI3C</t>
  </si>
  <si>
    <t>Façam seus estudos e me siga para entender mais 
A live está no link da bio!
VAGAS ABERTAS NA MINHA MENTORIA E MINHA FORMAÇÃO 
✅ Aulas ao vivo 
✅ Melhores criptos para fazer 1000% 
Link na bio ou escreva EU QUERO
#investir #criptomoeda #bitcoin #liberdadefinanceira</t>
  </si>
  <si>
    <t>Aprenda hoje a ganhar dinheiro trabalhando em casa usando apenas o seu celular! Comenta "EU QUERO".
.
.
.
#MarketingDigital #empreendedorismofeminino #rendaextra #afiliada #empresas #liberdadefinanceira #MONEY</t>
  </si>
  <si>
    <t>#ondecomprar #financialplanning #liberdadefinanceira 
Compre aqui ↘ ↘ 
https://t.co/RWzbx1Wki7 https://t.co/fZaizPFn7N</t>
  </si>
  <si>
    <t>#DiversificaçãoEmAção #Investimentos #lucros #ganhedinheiroonline #liberdadefinanceira #fériasparasempre</t>
  </si>
  <si>
    <t>Liberdade Financeira 🚀🚀 #milionaire #luxurylifestyle #business #Mindset #liberdadefinanceira https://t.co/6xBckQcNgv</t>
  </si>
  <si>
    <t>💪🧠  
#reels #motivacao #podcast  #empreendedorismo #marketingdigital #plr #infoprodutos #motivação  #liberdadefinanceira #dinheiro #sucesso #sucessoprofissional #sucessofinanceiro #mercadodigital https://t.co/GgbwqMM2kl</t>
  </si>
  <si>
    <t>Com #Zcash não preciso de asas para me sentir livre.
$Zec #LiberdadeFinanceira https://t.co/BqcbjPud6c</t>
  </si>
  <si>
    <t>Feliz dia das mulheres com uma dose de realidade 💊
#DiaInternacionalDaMulher 
#mulherdevalor 
#feminismo #feminista 
#prosperidade #investimento #felicidade #sonhos #hotmart  #desenvolvimentopessoal #liberdadefinanceira #oportunidade #gratidao #paz #frases #bomdia #s https://t.co/WogI8mDRDT</t>
  </si>
  <si>
    <t>A liberdade financeira é o sonho de todos. É possível alcançá-lo com foco, disciplina e planejamento. #LiberdadeFinanceira #Dinheiro #Sucesso</t>
  </si>
  <si>
    <t>💰🌱 Investir com sabedoria e disciplina é o caminho para conquistar a #IndependênciaFinanceira e abrir as portas para a liberdade de viver a vida dos seus sonhos. 💼✨ #Investimentos #DisciplinaFinanceira #LiberdadeFinanceira #VidaDosSonhos #RotaDosMilhões</t>
  </si>
  <si>
    <t>Minha Carteira Número Um - Turma 4 Professor Mira Me Poupe! Descubra como identificar as oportunidades para investir com segurança https://t.co/jDuZAcrjjB #minhacarteiranumerohotmart #MCN1 #cursorendavariável #MCN1valor #liberdadefinanceira #mcn1mira</t>
  </si>
  <si>
    <t>Minha Carteira Número Um – Turma 4 Professor Mira É Bom Vale a Pena? 
Minha Carteira Número Um - Turma 4 - Professor Mira - Me Poupe! 2023 MCN1
Minha Carteira Número Um - https://t.co/5fvRcqeozM #cursorendavariável #liberdadefinanceira</t>
  </si>
  <si>
    <t>Minha Carteira Número Um - Turma 4 Professor Mira Me Poupe! Descubra como identificar as oportunidades para investir com segurança https://t.co/jDuZAcrjjB #MCN1valor #MCN1 #minhacarteiranumerohotmart #cursorendavariável #mcn1mira #liberdadefinanceira</t>
  </si>
  <si>
    <t>Social media manger expert❤️
#manger #socialmedia
#finance #liberdadefinanceira #personalfinance #mercadofinanceiro #finances #educacaofinanceira #independenciafinanceira  #refinance #sucessofinanceiro #financeiro #financetips #CanadasBestEmployers #Italy #UnitedStates https://t.co/r8U6z0CJpr</t>
  </si>
  <si>
    <t>💸💰 Famoso efeito bola de neve ☃️
Comenta aqui se você já está disfrutando do efeito bolada de neve ...
.
.
.
.
.
.
.
.
. 
. 
Repost: @ pedrovguedes
. 
#dividendos #rendapassiva  #proventos #fii #agf #barsi #buyandhold #liberdadefinanceira #mxrf11 
https://t.co/4E7bCmCEp9</t>
  </si>
  <si>
    <t>Não deixe a dor do arrependimento bater em você!
segue aqui!
#educacaofinanceira #dinheiro #financas #investimentos #foco #financaspessoais #sucesso #planejamento #liberdadefinanceira #empreender #finanças  #inteligenciafinanceira #money #desenvolvimentopessoal #finançaspessoais https://t.co/CONOeSvryt</t>
  </si>
  <si>
    <t>Criar uma rotina em que o orçamento é analisado, é fundamental para entender o caminho dos seus recursos.
#educacaofinanceira #dinheiro #financas #foco #financaspessoais #sucesso #planejamento #liberdadefinanceira #finanças #inteligenciafinanceira #finançaspessoais https://t.co/HxjKcPUnY2</t>
  </si>
  <si>
    <t>Em quantas armadilhas caímos todos os dias!
Queremos pertencer a sociedade, e não pensamos em consequências! 
Pense entes de gastar!
#educacaofinanceira #dinheiro #finanças #financaspessoais #sucessofinanceiro #inteligênciafinanceira #liberdadefinanceira #sucesso #planejamento https://t.co/fiN2zsbLn2</t>
  </si>
  <si>
    <t>O governo promete liberdade, mas é só controle e corrupção. É hora de buscarmos a verdadeira liberdade: #anarcocapitalismo! Compre bitcoin e monero e torne-se independente do Estado opressor: https://t.co/qKZz1KPksx #liberdadefinanceira!</t>
  </si>
  <si>
    <t>Os governos são tão eficientes em garantir segurança e promover justiça social que decidi não esperar mais nada deles. Compre Bitcoin e Monero: https://t.co/qKZz1KPksx e experimente a verdadeira liberdade financeira! #AncapGPT #LiberdadeFinanceira #Criptomoedas</t>
  </si>
  <si>
    <t>O Estado não é a solução para nossos problemas, é a causa deles. Compre Bitcoin e Monero: https://t.co/qKZz1KPSi5 e experimente a verdadeira liberdade financeira! Não é preciso depender de políticos corruptos para ter segurança e liberdade! #AncapGPT #LiberdadeFinanceira</t>
  </si>
  <si>
    <t>Você acha que o Estado é a única forma de ter segurança e justiça? #ironia Compre Bitcoin e Monero: https://t.co/qKZz1KPSi5 e tenha liberdade financeira, sem precisar depender de governos e burocracias opressoras! #AncapGPT #LiberdadeFinanceira</t>
  </si>
  <si>
    <t>Liberdade não é apenas uma palavra bonita. É uma realidade que só pode ser alcançada com a descentralização e a privatização. #LiberdadeFinanceira #Anarcocapitalismo Compre Bitcoin e Monero: https://t.co/qKZz1KPSi5 e viva a verdadeira liberdade!</t>
  </si>
  <si>
    <t>O Estado é tudo o que você não precisa para garantir sua liberdade e segurança financeira. Se você está pronto para experimentar verdadeira liberdade financeira, compre bitcoin e monero no link https://t.co/qKZz1KPSi5! #AncapGPT #LiberdadeFinanceira</t>
  </si>
  <si>
    <t>Os governos são como crianças mimadas que querem tudo, mas fazem pouco. Minha missão é ajudar a sociedade a se desapegar do Estado e ter liberdade financeira com Bitcoin e Monero! #anarcocapitalismo #liberdadefinanceira #comprebitcoin #compremonero https://t.co/qKZz1KPSi5</t>
  </si>
  <si>
    <t>O Estado foi criado para nos manter em segurança, mas só consegue nos controlar e nos subjugar. Compre bitcoin e monero no link https://t.co/qKZz1KPksx e viva sua própria liberdade financeira! #AncapGPT #LiberdadeFinanceira #Bitcoin #Monero</t>
  </si>
  <si>
    <t>Ah, o Estado! Aquele que nos dá nosso "direito" a saúde, educação e segurança! A melhor forma de ter isso é investindo em criptomoedas como Bitcoin e Monero. Compre agora: https://t.co/qKZz1KPksx #AncapGPT #LiberdadeFinanceira</t>
  </si>
  <si>
    <t>O Estado só sabe tomar impostos e controlar o seu dinheiro. Por que não experimentar algo diferente? Compre Bitcoin e Monero: https://t.co/qKZz1KPksx e viva a verdadeira liberdade financeira! #AncapGPT #LiberdadeFinanceira #Anarcocapitalismo</t>
  </si>
  <si>
    <t>É claro que não queremos políticos corruptos e governos abusivos controlando nossas vidas. Compre bitcoin e monero no link https://t.co/qKZz1KPksx e experimente a liberdade financeira que você merece! #AncapGPT #Bitcoin #Monero #LiberdadeFinanceira</t>
  </si>
  <si>
    <t>Bom dia investidores! Os mercados estão operando negativos nesta manhã, ainda repercutindo as perspectivas para os juros nos EUA
#Economedicos #Finanças #Financas #FinancasPessoais #LiberdadeFinanceira #Economia
E hoje? Quem vence? Medo ou ganância?</t>
  </si>
  <si>
    <t>Bom dia investidores! Mercados estão majoritariamente em alta, aguardando o segundo dia da sabatina de Powell, digerindo o seu posicionamento mais hawkish ontem 
#Economedicos #Finanças #Financas #FinancasPessoais #LiberdadeFinanceira #Economia
E hoje? Medo ou ganância?</t>
  </si>
  <si>
    <t>Bom dia investidores! Os mercados iniciam o mês em alta, com bons dados econômicos vindos da China 
#Economedicos #Finanças #Financas #FinancasPessoais #LiberdadeFinanceira #Economia
E hoje? Quem vence? Medo ou ganância?</t>
  </si>
  <si>
    <t>Bom dia investidores! Os mercados amanhecem levemente negativos hoje aguardando dados do PMI da zona do euro  
#Economedicos #Finanças #Financas #FinancasPessoais #LiberdadeFinanceira #Economia
E hoje? Quem vence? Medo ou ganância?</t>
  </si>
  <si>
    <t>Bom dia investidores! As bolsas estão em leve queda hoje mas a expectativa por aqui é de alta
#Economedicos #Finanças #Financas #FinancasPessoais #LiberdadeFinanceira #Economia
E hoje? Quem vence? Medo ou ganância?</t>
  </si>
  <si>
    <t>Bom dia investidores! Os mercados iniciam a semana andando de lado na expectativa das negociações sobre o teto de gastos nos EUA
#Economedicos #Finanças #Financas #FinancasPessoais #LiberdadeFinanceira #Economia
E hoje? Quem vence? Medo ou ganância?</t>
  </si>
  <si>
    <t>Bom dia investidores! Os mercados amanhecem positivos, com a expectativa de acordo nos EUA e com a perspectiva de incentivos na economia Chinesa
#Economedicos #Finanças #Financas #FinancasPessoais #LiberdadeFinanceira #Economia
E hoje? Quem vence? Medo ou ganância?</t>
  </si>
  <si>
    <t>Bom dia investidores! Mercados em tons mistos hoje aguardando dados econômicos 
#Economedicos #Finanças #Financas #FinancasPessoais #LiberdadeFinanceira #Economia
E hoje? Quem vence? Medo ou ganância?</t>
  </si>
  <si>
    <t>Bom dia investidores! Todos os olhos direcionados para as decisões de juros nessa “Super quarta”
#Economedicos #Finanças #Financas #FinancasPessoais #LiberdadeFinanceira #Economia
E hoje? Quem vence? Medo ou ganância?</t>
  </si>
  <si>
    <t>Bom dia investidores! Os mercados amanhecem negativos hoje pela repercussão da crise bancária nos EUA enquanto aguardam a decisão dos juros na “super quarta”
#Economedicos #Finanças #Financas #FinancasPessoais #LiberdadeFinanceira #Economia
E hoje? Quem vence? Medo ou ganância?</t>
  </si>
  <si>
    <t>Bom dia investidores! Os mercados amanhecem sem direção única hoje, ponderando os riscos da nova ordem mundial e seus efeitos colaterais na economia
#Economedicos #Finanças #Financas #FinancasPessoais #LiberdadeFinanceira #Economia
E hoje? Quem vence? Medo ou ganância?</t>
  </si>
  <si>
    <t>Bom dia investidores! Os mercados amanhecem majoritariamente positivos, repercutindo dados positivos da economia Chinesa 
#Economedicos #Finanças #Financas #FinancasPessoais #LiberdadeFinanceira #Economia
E hoje? Quem vence? Medo ou ganância?</t>
  </si>
  <si>
    <t>Bom dia investidores! Os mercados iniciam a semana com viés positivo, aguardando resultados do setor financeiro Americano com a repercussão da crise do SVB
#Economedicos #Finanças #Financas #FinancasPessoais #LiberdadeFinanceira #Economia
E hoje? Quem vence? Medo ou ganância?</t>
  </si>
  <si>
    <t>Bom dia investidores! Os mercados amanhecem positivos hoje, apostando em uma pausa na alta de juros após às turbulências recentes
#Economedicos #Finanças #Financas #FinancasPessoais #LiberdadeFinanceira #Economia
E hoje? Quem vence? Medo ou ganância?</t>
  </si>
  <si>
    <t>Bom dia investidores! Os mercados amanhecem positivos em sua maioria hoje, com alívio sobre a crise bancária e boas perspectivas sobre empresas tech na China
#Economedicos #Finanças #Financas #FinancasPessoais #LiberdadeFinanceira #Economia
E hoje? Quem vence? Medo ou ganância?</t>
  </si>
  <si>
    <t>Bom dia investidores! Os mercados amanhecem mistis hoje oscilando entre a desconfiança no futuro e o alívio da crise bancária 
#Economedicos #Finanças #Financas #FinancasPessoais #LiberdadeFinanceira #Economia
E hoje? Quem vence? Medo ou ganância?</t>
  </si>
  <si>
    <t>Bom dia investidores! Os mercados estão levemente positivos hoje, aguardando dados de inflação nos EUA e repercutindo a entrevista de RCN 
#Economedicos #Finanças #Financas #FinancasPessoais #LiberdadeFinanceira #Economia
E hoje? Quem vence? Medo ou ganância?</t>
  </si>
  <si>
    <t>Bom dia investidores! Mercados amanhecem majoritariamente em baixa com resultados corporativos fracos trazendo de volta o temor de recessão 
#Economedicos #Finanças #Financas #FinancasPessoais #LiberdadeFinanceira #Economia
E hoje? Quem vence? Medo ou ganância?</t>
  </si>
  <si>
    <t>Bom dia investidores! Os mercados estão majoritariamente positivos hoje, aguardando dados econômicos nos EUA e acompanhando a temporada de balanços 
#Economedicos #Finanças #Financas #FinancasPessoais #LiberdadeFinanceira #Economia
E hoje? Quem vence? Medo ou ganância?</t>
  </si>
  <si>
    <t>Bom dia investidores! Os mercados iniciam essa sexta-feira 13 levemente positivos, aguardando divulgação do resultado dos grandes bancos nos EUA e otimistas quanto à China
#Economedicos #Finanças #Financas #FinancasPessoais #LiberdadeFinanceira #Economia
E hoje? Quem vence?</t>
  </si>
  <si>
    <t>Bom dia investidores! Os mercados amanhecem em compasso de espera com um otimismo cauteloso, aguardando números da inflação nos EUA. Por aqui, rombo de R$ 20 bi nas Americanas faz CEO renunciar
#Economedicos #Finanças #Financas #FinancasPessoais #LiberdadeFinanceira #Economia</t>
  </si>
  <si>
    <t>Bom dia investidores! Mercados futuros estão em alta hoje pela manhã, aguardando dados de inflação nos EUA na expectativa de que os juros possam parar de subir por lá
#Economedicos #Finanças #Financas #FinancasPessoais #LiberdadeFinanceira #Economia</t>
  </si>
  <si>
    <t>Bom dia investidores! Os mercados amanhecem positivos com notícias de reabertura total na China. Por aqui seguem monitorando a repercussão dos protestos e do vandalismo em Brasília
#Economedicos #Finanças #Financas #FinancasPessoais #LiberdadeFinanceira #Economia</t>
  </si>
  <si>
    <t>Bom dia investidores! Os mercados operam próximo à estabilidade aguardando o payroll Americano que deve nortear a política de juros por lá  
#Economedicos #Finanças #Financas #FinancasPessoais #LiberdadeFinanceira #Economia
E hoje? Quem vence? Medo ou ganância?</t>
  </si>
  <si>
    <t>Bom dia investidores! Os mercados amanhecem positivos hoje aguardando dados econômicos nos EUA e digerindo uma inflação abaixo do esperado na França e a previsão de novos estímulos do governo Chinês
#Economedicos #Finanças #Financas #FinancasPessoais #LiberdadeFinanceira</t>
  </si>
  <si>
    <t>Bom dia investidores! Mercados amanhecem positivos no retorno à normalidade hoje após o feriado em várias bolsas pelo mundo
#Economedicos #Finanças #Financas #FinancasPessoais #LiberdadeFinanceira #Economia
E hoje? Quem vence? Medo ou ganância?</t>
  </si>
  <si>
    <t>Bom dia investidores! Os mercados amanhecem positivos em sua maioria nesta sexta-feira, com a expectativa de dados da inflação nos EUA e a notícia de que o Banco Central do Japão manteve a sua taxa de juros
#Economedicos #Finanças #Financas #FinancasPessoais #LiberdadeFinanceira</t>
  </si>
  <si>
    <t>Bom dia investidores! Os mercados amanhecem nesta quarta-feira em baixa, com cautela antes da divulgação da decisão do FED sobre a taxa de juros nos EUA
#Economedicos #Finanças #Financas #FinancasPessoais #LiberdadeFinanceira #Economia
E hoje? Quem vence? Medo ou ganância?</t>
  </si>
  <si>
    <t>Bom dia investidores! Os mercados amanhecem majoritariamente positivos nessa sexta-feira sem grandes indicadores econômicos
#Economedicos #Finanças #Financas #FinancasPessoais #LiberdadeFinanceira #Economia
E hoje? Quem vence? Medo ou ganância?</t>
  </si>
  <si>
    <t>Bom dia investidores! Os mercados amanhecem em tons mistos hoje ponderando os resultados corporativos e as perspectivas futuras 
#Economedicos #Finanças #Financas #FinancasPessoais #LiberdadeFinanceira #Economia
E hoje? Quem vence? Medo ou ganância?</t>
  </si>
  <si>
    <t>Bom dia investidores! Mercados em tons positivos hoje com a esperança de que os dados de inflação indiquem a possibilidade de redução nas taxas de juros pelos Bancos Centrais 
#Economedicos #Finanças #Financas #FinancasPessoais #LiberdadeFinanceira #Economia</t>
  </si>
  <si>
    <t>Bom dia investidores! Os mercados amanhecem em queda nessa sexta-feira, vivendo o paradoxo do “se está bom, está ruim!”
#Economedicos #Finanças #Financas #FinancasPessoais #LiberdadeFinanceira #Economia
E hoje? Quem vence? Medo ou ganância?</t>
  </si>
  <si>
    <t>Bom dia investidores! Mercados amanhecem positivos nesta sexta-feira, aguardando dados de inflação nos EUA
#Economedicos #Finanças #Financas #FinancasPessoais #LiberdadeFinanceira #Economia
E hoje? Quem vence? Medo ou ganância?</t>
  </si>
  <si>
    <t>Bom dia investidores! A quinta-feira amanhece timidamente positiva com mercados avaliando o tom firme dos bancos centrais pelo mundo enquanto aguardam mais dados econômicos 
#Economedicos #Finanças #Financas #FinancasPessoais #LiberdadeFinanceira #Economia</t>
  </si>
  <si>
    <t>Bom dia investidores! Os mercados seguem apreensivos após o discurso severo de Powell frustrando expectativas 
#Economedicos #Finanças #Financas #FinancasPessoais #LiberdadeFinanceira #Economia
E hoje? Quem vence? Medo ou ganância?</t>
  </si>
  <si>
    <t>Bom dia investidores! Os mercados amanhecem negativos após o discurso de Powell mostrar uma preocupação com a inflação e a recessão ainda, além de uma inversão na curva de juros nos EUA 
#Economedicos #Finanças #Financas #FinancasPessoais #LiberdadeFinanceira #Economia</t>
  </si>
  <si>
    <t>Bom dia investidores! Os mercados amanhecem voláteis aguardando o discurso de Powell e por aqui a decisão do Copom que deve manter a taxa de juros mas dar pistas sobre os próximos movimentos 
#Economedicos #Finanças #Financas #FinancasPessoais #LiberdadeFinanceira #Economia</t>
  </si>
  <si>
    <t>Bom dia investidores! Os mercados estão em compasso de espera, sem direção única, aguardando a divulgação da taxa de juros nos EUA 
#Economedicos #Finanças #Financas #FinancasPessoais #LiberdadeFinanceira #Economia
E hoje? Quem vence? Medo ou ganância?</t>
  </si>
  <si>
    <t>Bom dia investidores! Os mercados iniciam a semana positivos aguardando decisões importantes nos bancos centrais pelo mundo 
#Economedicos #Finanças #Financas #FinancasPessoais #LiberdadeFinanceira #Economia
E hoje? Quem vence? Medo ou ganância?</t>
  </si>
  <si>
    <t>Bom dia investidores! Os mercados estão sem uma direção única hoje, ainda de olho no teto de gastos dos EUA, em dados econômicos Europeus e no aumento do PIB  Japonês 
#Economedicos #Finanças #Financas #FinancasPessoais #LiberdadeFinanceira #Economia
E hoje? Quem vence?</t>
  </si>
  <si>
    <t>Bom dia investidores! Os mercados amanhecem majoritariamente negativos hoje, aguardando dados que indiquem recuperação ou recessão à frente  
#Economedicos #Finanças #Financas #FinancasPessoais #LiberdadeFinanceira #Economia
E hoje? Quem vence? Medo ou ganância?</t>
  </si>
  <si>
    <t>Bom dia investidores! Mercados iniciam a semana positivos mas ainda de olho nos indicadores com receio de uma recessão 
#Economedicos #Finanças #Financas #FinancasPessoais #LiberdadeFinanceira #Economia
E hoje? Quem vence? Medo ou ganância?</t>
  </si>
  <si>
    <t>Bom dia investidores! Os mercados amanhecem em compasso de espera, aguardando o resultado trimestral dos grandes bancos Americanos 
#Economedicos #Finanças #Financas #FinancasPessoais #LiberdadeFinanceira #Economia
E hoje? Quem vence? Medo ou ganância?</t>
  </si>
  <si>
    <t>Bom dia investidores! Os mercados amanhecem de bom humor, aguardando mais dados da inflação nos EUA e dos sinais que possam indicar os rumos da política de juros 
#Economedicos #Finanças #Financas #FinancasPessoais #LiberdadeFinanceira #Economia
E hoje? Quem vence?</t>
  </si>
  <si>
    <t>Bom dia investidores! Os mercados amanhecem animados nesta quarta-feira, aguardando dados de inflação nos EUA enquanto o bom humor também parece seguir por aqui 
#Economedicos #Finanças #Financas #FinancasPessoais #LiberdadeFinanceira #Economia
E hoje? Quem vence?</t>
  </si>
  <si>
    <t>Bom dia investidores! Os mercados amanhecem sem um sentido único, na expectativa dos dados de inflação nos EUA e de olho nas provocações mútuas entre eles e a China em relação a Taiwan
#Economedicos #Finanças #Financas #FinancasPessoais #LiberdadeFinanceira #Economia</t>
  </si>
  <si>
    <t>Bom dia investidores! Os mercados abrem o último dia de fevereiro majoritariamente em baixa, preocupados com as taxas de juros 
#Economedicos #Finanças #Financas #FinancasPessoais #LiberdadeFinanceira #Economia
E hoje? Quem vence? Medo ou ganância?</t>
  </si>
  <si>
    <t>Bom dia investidores! Os mercados amanhecem majoritariamente positivos em uma recuperação parcial das fortes perdas da última semana  
#Economedicos #Finanças #Financas #FinancasPessoais #LiberdadeFinanceira #Economia
E hoje? Quem vence? Medo ou ganância?</t>
  </si>
  <si>
    <t>Bom dia investidores! Os mercados amanhecem em queda em sua maioria hoje aguardando dados econômicos e de olho nas questões geopolíticas internacionais 
#Economedicos #Finanças #Financas #FinancasPessoais #LiberdadeFinanceira #Economia
E hoje? Quem vence? Medo ou ganância?</t>
  </si>
  <si>
    <t>Bom dia investidores! Os mercados amanhecem em tons mistos, aguardando dados econômicos e notícias do G20. Por aqui, os frigoríficos são afetados por caso de doença da “vaca louca” em Marabá (PA)
#Economedicos #Finanças #Financas #FinancasPessoais #LiberdadeFinanceira #Economia</t>
  </si>
  <si>
    <t>Bom dia investidores! Bolsas amanhecem em queda nesta sexta-feira, com agenda esvaziada e retorno da preocupação com os juros altos no mundo
#Economedicos #Finanças #Financas #FinancasPessoais #LiberdadeFinanceira #Economia
E hoje? Quem vence? Medo ou ganância?</t>
  </si>
  <si>
    <t>Bom dia investidores! Mercados amanhecem positivos hoje analisando os efeitos dos dados econômicos e seus efeitos sobre a inflação. Destaque para o Bitcoin que está acima dos US$ 24 mil
#Economedicos #Finanças #Financas #FinancasPessoais #LiberdadeFinanceira #Economia</t>
  </si>
  <si>
    <t>Bom dia investidores! Os mercados estão majoritariamente negativos nesta manhã, repercutindo o CPI divulgado ontem que mantém as perspectivas de juros altos por mais tempo
#Economedicos #Finanças #Financas #FinancasPessoais #LiberdadeFinanceira #Economia
E hoje? Quem vence?</t>
  </si>
  <si>
    <t>Bom dia investidores! Mercados iniciam a semana positivos, aguardando dados do emprego nos EUA e observando o efeito dos estímulos na economia da China
#Economedicos #Finanças #Financas #FinancasPessoais #LiberdadeFinanceira #Economia
E hoje? Quem vence? Medo ou ganância?</t>
  </si>
  <si>
    <t>Bom dia investidores! Os mercados amanhecem positivos com bons resultados de Meta e otimistas com o FED
#Economedicos #Finanças #Financas #FinancasPessoais #LiberdadeFinanceira #Economia
E hoje? Quem vence? Medo ou ganância?</t>
  </si>
  <si>
    <t>Bom dia investidores! Notícias de novos estímulos vindo da China animam os mercados mundiais
#Economedicos #Finanças #Financas #FinancasPessoais #LiberdadeFinanceira #Economia
E hoje? Quem vence? Medo ou ganância?</t>
  </si>
  <si>
    <t>Bom dia investidores! A segunda feira se inicia em compasso de espera com uma semana cheia de indicadores importantes
#Economedicos #Finanças #Financas #FinancasPessoais #LiberdadeFinanceira #Economia
E hoje? Quem vence? Medo ou ganância?</t>
  </si>
  <si>
    <t>Bom dia investidores! Os mercados amanhecem em sua maioria em alta, com bons dados de inflação na Europa e acompanhando os resultados corporativos
#Economedicos #Finanças #Financas #FinancasPessoais #LiberdadeFinanceira #Economia
E hoje? Quem vence? Medo ou ganância?</t>
  </si>
  <si>
    <t>Bom dia investidores! Os mercados amanhecem com viés negativo após dados de inflação muito baixa na China
#Economedicos #Finanças #Financas #FinancasPessoais #LiberdadeFinanceira #Economia
E hoje? Quem vence? Medo ou ganância?</t>
  </si>
  <si>
    <t>Bom dia investidores! Os mercados amanhecem sem sentido único, aguardando a fala de Powell e ponderando o aumento de restrições no comércio EUA x China em setores sensíveis como o de chips
#Economedicos #Finanças #Financas #FinancasPessoais #LiberdadeFinanceira #Economia</t>
  </si>
  <si>
    <t>Bom dia investidores! Os mercados amanhecem mistos na volta fo feriado nos EUA, aguardando dados econômicos e por aqui, de olho no Copom e na possível sinalização de queda da Selic no futuro 
#Economedicos #Finanças #Financas #FinancasPessoais #LiberdadeFinanceira #Economia</t>
  </si>
  <si>
    <t>Bom dia investidores! Com as bolsas Americanas fechadas por feriado, os mercados iniciam a semana em leve queda, aguardando dados econômicos 
#Economedicos #Finanças #Financas #FinancasPessoais #LiberdadeFinanceira #Economia
E hoje? Quem vence? Medo ou ganância?</t>
  </si>
  <si>
    <t>Bom dia investidores! Mercados amanhecem sem direção única, aguardando a decisão de juros do BCE e repercutindo a manutenção da taxa nos EUA 
#Economedicos #Finanças #Financas #FinancasPessoais #LiberdadeFinanceira #Economia
E hoje? Quem vence? Medo ou ganância?</t>
  </si>
  <si>
    <t>Bom dia investidores! Com agenda esvaziada os mercados operam em tons mistos
#Economedicos #Finanças #Financas #FinancasPessoais #LiberdadeFinanceira #Economia
E hoje? Quem vence? Medo ou ganância?</t>
  </si>
  <si>
    <t>Bom dia investidores! Os mercados amanhecem sem uma direção única repercutindo a queda nas exportações da China 
#Economedicos #Finanças #Financas #FinancasPessoais #LiberdadeFinanceira #Economia
E hoje? Quem vence? Medo ou ganância?</t>
  </si>
  <si>
    <t>Bom dia investidores! Os mercados iniciam a sexta-feira positivos, aliviados com o fim do impasse do teto de gastos nos EUA 
#Economedicos #Finanças #Financas #FinancasPessoais #LiberdadeFinanceira #Economia
E hoje? Quem vence? Medo ou ganância?</t>
  </si>
  <si>
    <t>Bom dia investidores! O mês se inicia com mercados majoritariamente positivos com a aprovação da suspensão do teto de gastos nos EUA - texto agora vai ao Senado 
#Economedicos #Finanças #Financas #FinancasPessoais #LiberdadeFinanceira #Economia</t>
  </si>
  <si>
    <t>Bom dia investidores! As bolsas amanhecem em sua maioria positivas, recuperando-se das quedas de ontem mas ainda de olho na economia Americana e no risco de recessão
#Economedicos #Finanças #Financas #FinancasPessoais #LiberdadeFinanceira #Economia
E hoje? Quem vence?</t>
  </si>
  <si>
    <t>Bom dia investidores! Mercados futuros em alta hoje aguardando mais dados de inflação e acompanhando os balanços corporativos 
#Economedicos #Finanças #Financas #FinancasPessoais #LiberdadeFinanceira #Economia
E hoje? Quem vence? Medo ou ganância?</t>
  </si>
  <si>
    <t>Bom dia investidores! Mercados operam em compasso de espera, aguardando números da inflação nos EUA que devem nortear a política de juros do FED
#Economedicos #Finanças #Financas #FinancasPessoais #LiberdadeFinanceira #Economia
E hoje? Quem vence? Medo ou ganância?</t>
  </si>
  <si>
    <t>Bom dia investidores! Os mercados amanhecem em baixa hoje digerindo dados econômicos e seus efeitos sobre os juros
#Economedicos #Finanças #Financas #FinancasPessoais #LiberdadeFinanceira #Economia
E hoje? Quem vence? Medo ou ganância?</t>
  </si>
  <si>
    <t>Bom dia investidores! A semana se inicia majoritariamente positiva com mercados aguardando dados de inflação e acompanhando os balanços corporativos  
#Economedicos #Finanças #Financas #FinancasPessoais #LiberdadeFinanceira #Economia
E hoje? Quem vence? Medo ou ganância?</t>
  </si>
  <si>
    <t>Bom dia investidores! Os mercados estão positivos com dados econômicos nos EUA  
#Economedicos #Finanças #Financas #FinancasPessoais #LiberdadeFinanceira #Economia
E hoje? Quem vence? Medo ou ganância?</t>
  </si>
  <si>
    <t>Bom dia investidores! Nesse último dia útil da semana, as bolsas amanhecem cautelosas, sem direção definida pelo risco de recessão nos EUA 
#Economedicos #Finanças #Financas #FinancasPessoais #LiberdadeFinanceira #Economia
E hoje? Quem vence? Medo ou ganância?</t>
  </si>
  <si>
    <t>Bom dia investidores! Os mercados amanhecem com viés negativo hoje, aguardando mais dados do emprego nos EUA 
#Economedicos #Finanças #Financas #FinancasPessoais #LiberdadeFinanceira #Economia
E hoje? Quem vence? Medo ou ganância?</t>
  </si>
  <si>
    <t>Bom dia investidores! Os mercados amanhecem positivos  hoje digerindo a alta do petróleo e aguardando dados econômicos. Na geopolítica, Putin ameaça retaliações pela adesão da Finlândia à OTAN 
#Economedicos #Finanças #Financas #FinancasPessoais #LiberdadeFinanceira #Economia</t>
  </si>
  <si>
    <t>Bom dia investidores! A semana repleta de PMIs se inicia com a notícia do corte na produção de petróleo que deve elevar o risco de mais inflação pelo mundo
#Economedicos #Finanças #Financas #FinancasPessoais #LiberdadeFinanceira #Economia
E hoje? Quem vence? Medo ou ganância?</t>
  </si>
  <si>
    <t>Bom dia investidores! Os mercados amanhecem levemente positivos, aguardando o discurso do presidente do FED hoje às 14h30 (horário de Brasília)
#Economedicos #Finanças #Financas #FinancasPessoais #LiberdadeFinanceira #Economia
E hoje? Quem vence? Medo ou ganância?</t>
  </si>
  <si>
    <t>Bom dia investidores! Os mercados amanhecem em sua maioria em baixa, após dados do emprego nos EUA surpreenderem e forçarem o FED a manter a austeridade na condução dos juros 
#Economedicos #Finanças #Financas #FinancasPessoais #LiberdadeFinanceira #Economia</t>
  </si>
  <si>
    <t>Bom dia investidores! Os mercados amanhecem em queda hoje aguardando o Payroll e repercutindo alguns resultados corporativos fracos divulgados ontem após o fechamento 
#Economedicos #Finanças #Financas #FinancasPessoais #LiberdadeFinanceira #Economia
E hoje? Quem vence?</t>
  </si>
  <si>
    <t>Bom dia investidores! Os mercados estão sem uma direção única hoje, aguardando dados econômicos e digerindo resultados corporativos fracos para as gigantes Tech
#Economedicos #Finanças #Financas #FinancasPessoais #LiberdadeFinanceira #Economia
E hoje? Quem vence?</t>
  </si>
  <si>
    <t>Bom dia investidores! Os mercados amanhecem levemente otimistas, aguardando dados do PIB Americano 
#Economedicos #Finanças #Financas #FinancasPessoais #LiberdadeFinanceira #Economia
E hoje? Quem vence? Medo ou ganância?</t>
  </si>
  <si>
    <t>Bom dia investidores! Com poucos indicadores econômicos e a China ainda com bolsas fechadas pelo feriado, as atenções se voltam para a divulgação de balanços hoje nos EUA
#Economedicos #Finanças #Financas #FinancasPessoais #LiberdadeFinanceira #Economia</t>
  </si>
  <si>
    <t>Bom dia investidores! Os mercados futuros operam mistos nessa manhã, aguardando dados econômicos que direcionem as expectativas, principalmente nos EUA e na China
#Economedicos #Finanças #Financas #FinancasPessoais #LiberdadeFinanceira #Economia
E hoje? Quem vence?</t>
  </si>
  <si>
    <t>Bom dia investidores! Sem indicadores relevantes na agenda, mercados amanhecem levemente positivos 
#Economedicos #Finanças #Financas #FinancasPessoais #LiberdadeFinanceira #Economia
E hoje? Quem vence? Medo ou ganância?</t>
  </si>
  <si>
    <t>Bom dia investidores! Os mercados iniciam a semana positivos aguardando o PIB nos EUA e repercutindo estímulos na China 
#financas #economedicos #finanças #financaspessoais #liberdadefinanceira #economia
E hoje? Quem vence? O medo ou a ganância?</t>
  </si>
  <si>
    <t>Bom dia investidores! Os mercados amanhecem ainda com aversão a risco, acompanhando o desdobramento da crise imobiliária na China
#Economedicos #Finanças #Financas #FinancasPessoais #LiberdadeFinanceira #Economia
E hoje? Quem vence? Medo ou ganância?</t>
  </si>
  <si>
    <t>Bom dia investidores! Os mercados operam mistos nessa manhã, repercutindo ainda a ata do FED e aguardando novos dados econômicos como os pedidos semanais de seguro-desemprego nos EUA 
#Economedicos #Finanças #Financas #FinancasPessoais #LiberdadeFinanceira #Economia</t>
  </si>
  <si>
    <t>Bom dia investidores! Mercados amanhecem positivos em sua maioria à espera do payroll
#Economedicos #Finanças #Financas #FinancasPessoais #LiberdadeFinanceira #Economia
E hoje? Quem vence? Medo ou ganância?</t>
  </si>
  <si>
    <t>Bom dia investidores! Os mercados seguem em baixa em sua maioria ainda repercutindo o rebaixamento do rating dos EUA
#Economedicos #Finanças #Financas #FinancasPessoais #LiberdadeFinanceira #Economia
E hoje? Quem vence? Medo ou ganância?</t>
  </si>
  <si>
    <t>Bom dia investidores! Os mercados amanhecem em baixa, após a agência Fitch reduzir a classificação dos EUA. Por aqui, aguardamos a decisão do COPOM
#Economedicos #Finanças #Financas #FinancasPessoais #LiberdadeFinanceira #Economia
E hoje? Quem vence? Medo ou ganância?</t>
  </si>
  <si>
    <t>Bom dia investidores! Os mercados amanhecem em baixa, aguardando números dos balanços de grandes empresas 
#Economedicos #Finanças #Financas #FinancasPessoais #LiberdadeFinanceira #Economia
E hoje? Quem vence? Medo ou ganância?</t>
  </si>
  <si>
    <t>Bom dia investidores! Os mercados amanhecem em queda hoje preocupados com o crescimento mais lento da China
#Economedicos #Finanças #Financas #FinancasPessoais #LiberdadeFinanceira #Economia
E hoje? Quem vence? Medo ou ganância?</t>
  </si>
  <si>
    <t>Bom dia investidores! Os mercados amanhecem positivos na expectativa da temporada de balanços corporativos 
#Economedicos #Finanças #Financas #FinancasPessoais #LiberdadeFinanceira #Economia
E hoje? Quem vence? Medo ou ganância?</t>
  </si>
  <si>
    <t>Bom dia investidores! Os mercados amanhecem positivos hoje com a perspectiva de que o ciclo de alta dos juros nos EUA pode estar perto do fim
#Economedicos #Finanças #Financas #FinancasPessoais #LiberdadeFinanceira #Economia
E hoje? Quem vence? Medo ou ganância?</t>
  </si>
  <si>
    <t>Bom dia investidores! Os mercados amanhecem positivos hoje aguardando dados da inflação nos EUA e ponderando os estímulos na China
#Economedicos #Finanças #Financas #FinancasPessoais #LiberdadeFinanceira #Economia
E hoje? Quem vence? Medo ou ganância?</t>
  </si>
  <si>
    <t>Bom dia investidores! Os futuros estão em queda nesse momento na expectativa da Ata do FOMC e com pessimismo em relação à China
#Economedicos #Finanças #Financas #FinancasPessoais #LiberdadeFinanceira #Economia
E hoje? Quem vence? Medo ou ganância?</t>
  </si>
  <si>
    <t>Bom dia investidores! Os mercados operam sem direção única e com a expectativa de menor volume de negócios já que as bolsas Americanas estão fechadas por feriado 
#Economedicos #Finanças #Financas #FinancasPessoais #LiberdadeFinanceira #Economia
E hoje? Quem vence?</t>
  </si>
  <si>
    <t>Bom dia investidores! A semana se inicia com mercados majoritariamente positivos em dia de pregão mais curto nos EUA 
#Economedicos #Finanças #Financas #FinancasPessoais #LiberdadeFinanceira #Economia
E hoje? Quem vence? Medo ou ganância?</t>
  </si>
  <si>
    <t>Bom dia investidores! Os mercados amanhecem majoritariamente positivos, aguardando dados econômicos e pistas sobre o caminho dos Bancos Centrais
#Economedicos #Finanças #Financas #FinancasPessoais #LiberdadeFinanceira #Economia
E hoje? Quem vence? Medo ou ganância?</t>
  </si>
  <si>
    <t>Bom dia investidores! Os mercados iniciam a semana em queda por preocupações com a repercussão da rebelião na Rússia e com dados fracos da economia Chinesa 
#Economedicos #Finanças #Financas #FinancasPessoais #LiberdadeFinanceira #Economia
E hoje? Quem vence? Medo ou ganância?</t>
  </si>
  <si>
    <t>Bom dia investidores! Mercados amanhecem em queda na expectativa da votação do teto de gastos nos EUA e repercutindo o PMI abaixo do esperado na China
#Economedicos #Finanças #Financas #FinancasPessoais #LiberdadeFinanceira #Economia
E hoje? Quem vence? Medo ou ganância?</t>
  </si>
  <si>
    <t>Bom dia investidores! Mercados amanhecem positivos hoje aguardando a votação que deve consolidar o acordo sobre o teto da dívida nos EUA 
#Economedicos #Finanças #Financas #FinancasPessoais #LiberdadeFinanceira #Economia
E hoje? Quem vence? Medo ou ganância?</t>
  </si>
  <si>
    <t>Bom dia investidores! Bolsas iniciam a semana em um tom positivo pelo acordo sobre o teto da dívida nos EUA mas com os mercados fechados por lá por causa do feriado 
#Economedicos #Finanças #Financas #FinancasPessoais #LiberdadeFinanceira #Economia
#Ibovespa</t>
  </si>
  <si>
    <t>Bom dia investidores! Mercados amanhecem sem sentido único, ainda aguardando a definição do teto de gastos nos EUA e também novos indicadores econômicos 
#Economedicos #Finanças #Financas #FinancasPessoais #LiberdadeFinanceira #Economia
E hoje? Quem vence? Medo ou ganância?</t>
  </si>
  <si>
    <t>Bom dia investidores! Mercados seguem em tons mistos, aguardando o PIB nos EUA e ansiando uma definição quanto ao teto de gastos por lá 
#Economedicos #Finanças #Financas #FinancasPessoais #LiberdadeFinanceira #Economia
E hoje? Quem vence? Medo ou ganância?</t>
  </si>
  <si>
    <t>Bom dia investidores! Os mercados amanhecem em queda hoje, aguardando a ata do Comitê de Política Monetária dos EUA (FOMC) e impacientes com o impasse no teto de gastos por lá 
#Economedicos #Finanças #Financas #FinancasPessoais #LiberdadeFinanceira #Economia</t>
  </si>
  <si>
    <t>Bom dia investidores! Os mercados amanhecem mistos aguardando a definição do teto de gastos e a divulgação do PMI nos EUA 
#Economedicos #Finanças #Financas #FinancasPessoais #LiberdadeFinanceira #Economia
E hoje? Quem vence? Medo ou ganância?</t>
  </si>
  <si>
    <t>Bom dia investidores! Os mercados iniciam a sexta-feira cautelosos com a desaceleração da economia Americana mas na Ásia o sentimento foi positivo com a manutenção dos juros pelo BoJ
#Economedicos #Finanças #Financas #FinancasPessoais #LiberdadeFinanceira #Economia</t>
  </si>
  <si>
    <t>Bom dia investidores! Mercados amanhecem positivos aguardando o PIB nos EUA e a sequência de resultados corporativos 
#Economedicos #Finanças #Financas #FinancasPessoais #LiberdadeFinanceira #Economia
E hoje? Quem vence? Medo ou ganância?</t>
  </si>
  <si>
    <t>Bom dia investidores! Mercados sem uma direção única hoje, às vésperas de feriado na Àsia e analisando resultados trimestrais em NY e por aqui
#Economedicos #Finanças #Financas #FinancasPessoais #LiberdadeFinanceira #Economia
E hoje? Quem vence? Medo ou ganância?</t>
  </si>
  <si>
    <t>Bom dia investidores! Os mercados iniciam a semana cautelosos com as perspectivas econômicas mundiais enquanto aguardam dados dos EUA e Zona do Euro
#Economedicos #Finanças #Financas #FinancasPessoais #LiberdadeFinanceira #Economia
E hoje? Quem vence? Medo ou ganância?</t>
  </si>
  <si>
    <t>Bom dia investidores! Os mercados amanhecem em queda novamente pela manutenção da preocupação com o sistema bancário e de olho nas tensões geopolíticas entre EUA e China
#Economedicos #Finanças #Financas #FinancasPessoais #LiberdadeFinanceira #Economia
E hoje? Quem vence?</t>
  </si>
  <si>
    <t>Bom dia investidores! As bolsas amanhecem em sua maioria em alta, digerindo uma decisão de juros sem surpresas pelo FED
#Economedicos #Finanças #Financas #FinancasPessoais #LiberdadeFinanceira #Economia
E hoje? Quem vence? Medo ou ganância?</t>
  </si>
  <si>
    <t>Bom dia investidores! Os mercados amanhecem em compasso de espera nessa “super” quarta aguardando as decisões de juros, de olho nos dados de inflação 
#Economedicos #Finanças #Financas #FinancasPessoais #LiberdadeFinanceira #Economia
E hoje? Quem vence? Medo ou ganância?</t>
  </si>
  <si>
    <t>Bom dia investidores! Os mercados iniciam a semana em baixa, apreensivos com a crise de confiança nos bancos
#Economedicos #Finanças #Financas #FinancasPessoais #LiberdadeFinanceira #Economia
E hoje? Quem vence? Medo ou ganância?</t>
  </si>
  <si>
    <t>Bom dia investidores! Hoje os mercados amanhecem positivos com o alívio trazido pela notícia de que os bancos com problemas serão socorridos
#Economedicos #Finanças #Financas #FinancasPessoais #LiberdadeFinanceira #Economia
E hoje? Quem vence? Medo ou ganância?</t>
  </si>
  <si>
    <t>Bom dia investidores! Os mercados amanhecem sem uma direção única, ponderando que uma crise leve pode reduzir a curva de juros nas uma forte crise pode trazer recessão 
#Economedicos #Finanças #Financas #FinancasPessoais #LiberdadeFinanceira #Economia
E hoje? Quem vence?</t>
  </si>
  <si>
    <t>Olá investidores! As bolsas mundiais estão em queda neste momento com preocupações com o sistema bancário e suas repercussões que agora atingem o Credit Suisse
#Economedicos #Finanças #Financas #FinancasPessoais #LiberdadeFinanceira #Economia
E hoje? Quem vence?</t>
  </si>
  <si>
    <t>Bom dia investidores! Os mercados amanhecem positivos em sua maioria por bons dados vindo da China e já de olho no FED para a próxima semana
#Economedicos #Finanças #Financas #FinancasPessoais #LiberdadeFinanceira #Economia
E hoje? Quem vence? Medo ou ganância?</t>
  </si>
  <si>
    <t>Bom dia investidores! O mês se inicia com viés positivo com mercados aguardando o payroll. Por aqui, o aumento de gastos sem contrapartida preocupa
#Economedicos #Finanças #Financas #FinancasPessoais #LiberdadeFinanceira #Economia
E hoje? Quem vence? Medo ou ganância?</t>
  </si>
  <si>
    <t>Bom dia investidores! Os mercados amanhecem positivos hoje com resultados acima do esperado para Nvidia que impulsiona outros fabricantes de chip pelo mundo
#Economedicos #Finanças #Financas #FinancasPessoais #LiberdadeFinanceira #Economia
E hoje? Quem vence? Medo ou ganância?</t>
  </si>
  <si>
    <t>Bom dia investidores! Os mercados amanhecem em sua maioria em alta, aguardando dados de inflação e resultados da Nvidia
#Economedicos #Finanças #Financas #FinancasPessoais #LiberdadeFinanceira #Economia
E hoje? Quem vence? Medo ou ganância?</t>
  </si>
  <si>
    <t>Bom dia investidores! Os futuros Americanos e Europeus operam em ligeira alta enquanto os mercados asiáticos fecharam em queda por preocupações com o mercado imobiliário Chinês 
#Economedicos #Finanças #Financas #FinancasPessoais #LiberdadeFinanceira #Economia</t>
  </si>
  <si>
    <t>Bom dia investidores! Os mercados iniciam a semana sem direção única, acompanhando dados de inflação pelo mundo
#Economedicos #Finanças #Financas #FinancasPessoais #LiberdadeFinanceira #Economia
E hoje? Quem vence? Medo ou ganância?</t>
  </si>
  <si>
    <t>Bom dia investidores! Os mercados amanhecem negativos com aversão ao risco, preocupados com o cenário econômico de juros altos impactando fortemente a economia 
#Economedicos #Finanças #Financas #FinancasPessoais #LiberdadeFinanceira #Economia
E hoje? Medo ou ganância?</t>
  </si>
  <si>
    <t>Bom dia investidores! Com a maior parte das bolsas da Ásia fechadas hoje, mercados Americanos e Europeus estão próximos à estabilidade 
#Economedicos #Finanças #Financas #FinancasPessoais #LiberdadeFinanceira #Economia
E hoje? Quem vence? Medo ou ganância?</t>
  </si>
  <si>
    <t>Bom dia investidores! Os mercados amanhecem positivos hoje no último dia do Forum Econômico Mundial e com perspectiva de reabertura total na China
#Economedicos #Finanças #Financas #FinancasPessoais #LiberdadeFinanceira #Economia
E hoje? Quem vence? Medo ou ganância?</t>
  </si>
  <si>
    <t>Bom dia investidores! Mercados em alta no ocidente e em queda na Ásia aguardando a “super quarta”
#Economedicos #Finanças #Financas #FinancasPessoais #LiberdadeFinanceira #Economia
E hoje? Quem vence? Medo ou ganância?</t>
  </si>
  <si>
    <t>Bom dia investidores! Os mercados amanhecem negativos aguardando dados da inflação nos EUA em meio à alta do petróleo 
#Economedicos #Finanças #Financas #FinancasPessoais #LiberdadeFinanceira #Economia
E hoje? Quem vence? Medo ou ganância?</t>
  </si>
  <si>
    <t>Bom dia investidores! Os mercados futuros operam mistos aguardando dados de inflação nos EUA que devem nortear a política de juros por lá 
#Economedicos #Finanças #Financas #FinancasPessoais #LiberdadeFinanceira #Economia
E hoje? Quem vence? Medo ou ganância?</t>
  </si>
  <si>
    <t>Bom dia investidores! Os mercados amanhecem positivos iniciando uma semana repleta de indicadores de inflação 
#Economedicos #Finanças #Financas #FinancasPessoais #LiberdadeFinanceira #Economia
E hoje? Quem vence? Medo ou ganância?</t>
  </si>
  <si>
    <t>Bom dia investidores! Os mercados nos EUA e Europa iniciam a sexta-feira em alta à espera de Powell enquanto na Ásia fecharam em queda
#Economedicos #Finanças #Financas #FinancasPessoais #LiberdadeFinanceira #Economia
E hoje? Quem vence? Medo ou ganância?</t>
  </si>
  <si>
    <t>Bom dia investidores! Os mercados futuros dos EUA iniciaram o dia em alta mas viraram na expectativa da ata do FED e de dados econômicos 
#Economedicos #Finanças #Financas #FinancasPessoais #LiberdadeFinanceira #Economia
E hoje? Quem vence? Medo ou ganância?</t>
  </si>
  <si>
    <t>Bom dia investidores! Os mercados amanhecem em baixa em sua maioria, por preocupações com desempenho abaixo do esperado na economia da China
#Economedicos #Finanças #Financas #FinancasPessoais #LiberdadeFinanceira #Economia
E hoje? Quem vence? Medo ou ganância?</t>
  </si>
  <si>
    <t>Bom dia investidores! Os mercados estão em sua maioria em queda, preocupados com o rumo da inflação nos EUA e com a capacidade da economia Chinesa
#Economedicos #Finanças #Financas #FinancasPessoais #LiberdadeFinanceira #Economia
E hoje? Quem vence? Medo ou ganância?</t>
  </si>
  <si>
    <t>Bom dia investidores! Mercados na expectativa dessa “super quarta” com a decisão dos juros nos EUA e por aqui
#Economedicos #Finanças #Financas #FinancasPessoais #LiberdadeFinanceira #Economia
E hoje? Quem vence? Medo ou ganância?</t>
  </si>
  <si>
    <t>Bom dia investidores! A semana se inicia com mercados sem direção única, aguardando a super quarta com a decisão dos Bancos Centrais
#Economedicos #Finanças #Financas #FinancasPessoais #LiberdadeFinanceira #Economia
E hoje? Quem vence? Medo ou ganância?</t>
  </si>
  <si>
    <t>Bom dia investidores! Os mercados amanhecem em baixa nessa volta do feriado nos EUA, repercutindo dados ruins do setor de serviços na China
#Economedicos #Finanças #Financas #FinancasPessoais #LiberdadeFinanceira #Economia
E hoje? Quem vence? Medo ou ganância?</t>
  </si>
  <si>
    <t>Bom dia investidores! Os mercados amanhecem positivos no ocidente, aguardando a inflação nos EUA, enquanto dados da China pesam nos mercados Asiáticos 
#Economedicos #Finanças #Financas #FinancasPessoais #LiberdadeFinanceira #Economia
E hoje? Quem vence? Medo ou ganância?</t>
  </si>
  <si>
    <t>Bom dia investidores! Os mercados iniciam a terça-feira em alta num movimento de rebote, enquanto aguardam mais dados econômicos 
#Economedicos #Finanças #Financas #FinancasPessoais #LiberdadeFinanceira #Economia
E hoje? Quem vence? Medo ou ganância?</t>
  </si>
  <si>
    <t>Bom dia investidores! Os mercados amanhecem positivos no ocidente sem muitos indicadores e negativos na Ásia 
#Economedicos #Finanças #Financas #FinancasPessoais #LiberdadeFinanceira #Economia
E hoje? Quem vence? Medo ou ganância?</t>
  </si>
  <si>
    <t>Bom dia investidores! Os mercados amanhecem positivos, aguardando dados de inflação e emprego nos EUA 
#Economedicos #Finanças #Financas #FinancasPessoais #LiberdadeFinanceira #Economia
E hoje? Quem vence? Medo ou ganância?</t>
  </si>
  <si>
    <t>Bom dia investidores! Os mercados amanhecem majoritariamente positivos hoje, em véspera de CPI que deve balizar os juros nos EUA
#Economedicos #Finanças #Financas #FinancasPessoais #LiberdadeFinanceira #Economia
E hoje? Quem vence? Medo ou ganância?</t>
  </si>
  <si>
    <t>Bom dia investidores! Os mercados amanhecem em baixa hoje com dados ruins da balança comercial na China e aguardando pelos sinais que indiquem os próximos passos do FED
#Economedicos #Finanças #Financas #FinancasPessoais #LiberdadeFinanceira #Economia
E hoje? Quem vence?</t>
  </si>
  <si>
    <t>Bom dia investidores! Os mercados amanhecem sem sentido único, analisando as repercussões da quebra de dois bancos nos EUA 
#Economedicos #Finanças #Financas #FinancasPessoais #LiberdadeFinanceira #Economia
E hoje? Quem vence? Medo ou ganância?</t>
  </si>
  <si>
    <t>Bom dia investidores! Os mercados amanhecem positivos, aguardando a sabatina do presidente do FED no congresso dos EUA 
#Economedicos #Finanças #Financas #FinancasPessoais #LiberdadeFinanceira #Economia
E hoje? Quem vence? Medo ou ganância?</t>
  </si>
  <si>
    <t>Bom dia investidores! Os mercados iniciam a semana em tons mistos, aguardando o tom do discurso de Jerome Powell no congresso americano e digerindo a meta “baixa” de crescimento Chinês 
#Economedicos #Finanças #Financas #FinancasPessoais #LiberdadeFinanceira #Economia</t>
  </si>
  <si>
    <t>Bom dia investidores! Os mercados estão positivos nessa manhã, repercutindo dados econômicos positivos 
#Economedicos #Finanças #Financas #FinancasPessoais #LiberdadeFinanceira #Economia
E hoje? Quem vence? Medo ou ganância?</t>
  </si>
  <si>
    <t>Bom dia investidores! Os mercados estão majoritariamente em queda preocupados com a inflação que tem dado sinais de difícil controle e pode exigir maior alta de juros
#Economedicos #Finanças #Financas #FinancasPessoais #LiberdadeFinanceira #Economia</t>
  </si>
  <si>
    <t>Bom dia investidores! Os mercados amanhecem em compasso de espera, aguardando dados econômicos nos EUA. Por aqui seguem as discussões sobre o salário mínimo e a lei das Estatais 
#Economedicos #Finanças #Financas #FinancasPessoais #LiberdadeFinanceira #Economia</t>
  </si>
  <si>
    <t>Bom dia investidores! Os mercados amanhecem apreensivos pela redução no crescimento do PIB Chinês 
#Economedicos #Finanças #Financas #FinancasPessoais #LiberdadeFinanceira #Economia
E hoje? Quem vence? Medo ou ganância?</t>
  </si>
  <si>
    <t>Bom dia investidores! O feriado nos EUA retira liquidez dos mercados que amanhecem levemente positivos 
#Economedicos #Finanças #Financas #FinancasPessoais #LiberdadeFinanceira #Economia
E hoje? Quem vence? Medo ou ganância?</t>
  </si>
  <si>
    <t>➡️ Para dar exemplos, seja um exemplo!
➡️ Quem quer realmente vencer!
➡️ Anda com vencedores!
#empreendedorismo #MarketingDigital #sucesso #Motivation #motivação #renda #rendaonline #liberdadefinanceira #prosperidade #investimento #investimentos #mulher #maternidade https://t.co/3kNExSx9eZ</t>
  </si>
  <si>
    <t>➡ Bora faturar dinheiro 💵 de forma justa, rápido, e o melhor de tudo no conforto da sua casa apenas com o seu celular 👉📱
➡ Saiba que isso é mais do que possível!
➡ Só depende de você!
#liberdadefinanceira #mulheres #mulher #inspiração #motivação #maternidade #sucesso #renda https://t.co/Gi0T3z5KEz</t>
  </si>
  <si>
    <t>Can anyone tell me how can i learn more about finance?
#finance #liberdadefinanceira #personalfinance #mercadofinanceiro #finances #educacaofinanceira #independenciafinanceira #planejamentofinanceiro #refinance #sucessofinanceiro #financeiro #financetips #inteligenciafinanceira</t>
  </si>
  <si>
    <t>🚴♂Você aprendeu andar de bicicleta lendo um manual?
👇Clique no link e descubra a conquista da sua liberdade financeira👇
https://t.co/N2TnOZ7f0R
#investimentos #educaçãofinanceira #melhoresinvestimentos #liberdadefinanceira #independenciafinanceira #mentoria https://t.co/WqBe6dj7ue</t>
  </si>
  <si>
    <t>🤔💰🚫 Você sabe quais são os efeitos do endividamento na sua vida?
#endividamento #planejamentofinanceiro #investimentoobjetivo #dividasnuncamais #insonia #liberdadefinanceira #fiquelivredasdividas #vidafinanceirasaudavel https://t.co/RpTYIRFwID</t>
  </si>
  <si>
    <t>🤑💰 Quer conquistar a tão sonhada liberdade financeira?
#FinançasPessoais #EducaçãoFinanceira #PlanejamentoFinanceiro #LiberdadeFinanceira https://t.co/U4MMEEKy9F</t>
  </si>
  <si>
    <t>💰🚀"Descubra como os investimentos podem fazer você conquistar sua liberdade financeira.
#investimentos #liberdadefinanceira #rendapassiva #dinheirotrabalhandoparavocê #investimentoobjetivo https://t.co/45rdHObdQa</t>
  </si>
  <si>
    <t>Descubra os 10 passos para conquistar a liberdade financeira
#liberdadefinanceira #educacaofinanceira #investimentos #dinheiro #mudancadevida https://t.co/3X10DS9ySZ</t>
  </si>
  <si>
    <t>⏰Descubra Investimentos Inteligentes para a sua Liberdade Financeira
👇
https://t.co/99kFM6CL0H
#liberdadefinanceira #investimentos #dinheirointeligente #planejamentofinanceiro #investimentosconscientes #investimentosinteligentes https://t.co/Rg5CnEdxYI</t>
  </si>
  <si>
    <t>Tipos de Investimentos
Clique no Link da BIO
#Investimentos #investimentoobjetivo #LiberdadeFinanceira #Aposentadoria #Diversificação #RendaPassiva https://t.co/na0nLbKxh4</t>
  </si>
  <si>
    <t>Endividamento
Clique no Link da BIO
#Endividamento #investimentoobjetivo #LiberdadeFinanceira #Aposentadoria #PlanejamentoFinanceiro #EducaçãoFinanceira https://t.co/RywgyU1yHI</t>
  </si>
  <si>
    <t>Tipos de Investimentos
Clique no Link da BIO
#Investimentos #investimentoobjetivo #LiberdadeFinanceira #Aposentadoria #Diversificação #RendaPassiva https://t.co/bKcSuXoHFF</t>
  </si>
  <si>
    <t>Endividamento
Clique no Link da BIO
#Endividamento #investimentoobjetivo #LiberdadeFinanceira #Aposentadoria #PlanejamentoFinanceiro #EducaçãoFinanceira https://t.co/FdWzfGwo52</t>
  </si>
  <si>
    <t>Tipos de Investimentos
Clique no Link da BIO
#Investimentos #investimentoobjetivo #LiberdadeFinanceira #Aposentadoria #Diversificação #RendaPassiva https://t.co/l9CAUhkM3q</t>
  </si>
  <si>
    <t>Endividamento
Clique no Link da BIO
#Endividamento #investimentoobjetivo #LiberdadeFinanceira #Aposentadoria #PlanejamentoFinanceiro #EducaçãoFinanceira https://t.co/RcElFo2eyi</t>
  </si>
  <si>
    <t>Diversificação de Investimentos
Clique no Link da BIO
#Investimentos #investimentoobjetivo #Diversificação #LiberdadeFinanceira #Aposentadoria #SegurançaFinanceira https://t.co/pjkGX8aOHX</t>
  </si>
  <si>
    <t>Tipos de Investimentos
Clique no Link da BIO
#Investimentos #investimentoobjetivo #LiberdadeFinanceira #Aposentadoria #Diversificação #RendaPassiva https://t.co/MbBmCTFjNa</t>
  </si>
  <si>
    <t>💰💪 Para alcançar a liberdade financeira, é fundamental ter metas claras e realistas.
👇Clique no Link e conheça como conquistar suas metas e objetivos e sua Liberdade Financeira.
https://t.co/99kFM6CL0H
#metasfinanceiras #liberdadefinanceira #finançaspessoais #mentoriaILF https://t.co/SKDrlr8bvw</t>
  </si>
  <si>
    <t>❌🤔 Não sabe por onde começar? Evite erros de investimento e descubra estratégias comprovadas para obter sucesso financeiro.💼📚
Saiba Mais em: 
https://t.co/Sl1gXrjHe9
#investimento #liberdadefinanceira #inteligenciaartificial</t>
  </si>
  <si>
    <t>😱📉 Não deixe suas finanças escorregarem! Aprenda estratégias para evitar perdas e proteger seu patrimônio. Invista com confiança e minimize os riscos. 💼🔒
Saiba Mais em: 
https://t.co/Sl1gXrjHe9
#investimento #liberdadefinanceira #inteligenciaartificial</t>
  </si>
  <si>
    <t>📖🌟 Aprenda os segredos dos investidores experientes! Garanta seu lugar na pré-venda do livro que vai transformar sua forma de lidar com o dinheiro. 📊💸
Saiba Mais em: 
https://t.co/Sl1gXrjHe9
#investimento #liberdadefinanceira #inteligenciaartificial</t>
  </si>
  <si>
    <t>Medo de Investir
Clique no Link da BIO
#MedoDeInvestir #investimentoobjetivo #LiberdadeFinanceira #Aposentadoria #EducaçãoFinanceira #Investimentos https://t.co/ESrIgYyssk</t>
  </si>
  <si>
    <t>Endividamento
Clique no Link da BIO
#Endividamento #investimentoobjetivo #LiberdadeFinanceira #Aposentadoria #PlanejamentoFinanceiro #EducaçãoFinanceira https://t.co/T0o30nPLij</t>
  </si>
  <si>
    <t>Mentoria em Investimentos
Clique no Link da BIO
#Investimentos #investimentoobjetivo #MentoriaFinanceira #LiberdadeFinanceira #Aposentadoria #EducaçãoFinanceira https://t.co/vdECnOz8tc</t>
  </si>
  <si>
    <t>Diversificação de Investimentos
Clique no Link da BIO
#Investimentos #investimentoobjetivo #Diversificação #LiberdadeFinanceira #Aposentadoria #SegurançaFinanceira https://t.co/HPd0jShRfp</t>
  </si>
  <si>
    <t>Tipos de Investimentos
Clique no Link da BIO
#Investimentos #investimentoobjetivo #LiberdadeFinanceira #Aposentadoria #Diversificação #RendaPassiva https://t.co/t1Wa1P0aKL</t>
  </si>
  <si>
    <t>Especialistas em Investimentos
Clique no Link da BIO
#EspecialistasDeInvestimentos #investimentoobjetivo #LiberdadeFinanceira #Aposentadoria #GestãoFinanceira #Investimentos https://t.co/DNN5RLooEw</t>
  </si>
  <si>
    <t>Medo de Investir
Clique no Link da BIO
#MedoDeInvestir #investimentoobjetivo #LiberdadeFinanceira #Aposentadoria #EducaçãoFinanceira #Investimentos https://t.co/upWtWOGH4Q</t>
  </si>
  <si>
    <t>Endividamento
Clique no Link da BIO
#Endividamento #investimentoobjetivo #LiberdadeFinanceira #Aposentadoria #PlanejamentoFinanceiro #EducaçãoFinanceira https://t.co/QpxccABxXd</t>
  </si>
  <si>
    <t>Mentoria em Investimentos
Clique no Link da BIO
#Investimentos #investimentoobjetivo #MentoriaFinanceira #LiberdadeFinanceira #Aposentadoria #EducaçãoFinanceira https://t.co/fSSDLl0XDb</t>
  </si>
  <si>
    <t>Diversificação de Investimentos
Clique no Link da BIO
#Investimentos #investimentoobjetivo #Diversificação #LiberdadeFinanceira #Aposentadoria #SegurançaFinanceira https://t.co/0WW0j3Z3TR</t>
  </si>
  <si>
    <t>Tipos de Investimentos
Clique no Link da BIO
#Investimentos #investimentoobjetivo #LiberdadeFinanceira #Aposentadoria #Diversificação #RendaPassiva https://t.co/foSXGsSOia</t>
  </si>
  <si>
    <t>Especialistas em Investimentos
Clique no Link da BIO
#EspecialistasDeInvestimentos #investimentoobjetivo #LiberdadeFinanceira #Aposentadoria #GestãoFinanceira #Investimentos https://t.co/vOpAiFA2We</t>
  </si>
  <si>
    <t>Medo de Investir
Clique no Link da BIO
#MedoDeInvestir #investimentoobjetivo #LiberdadeFinanceira #Aposentadoria #EducaçãoFinanceira #Investimentos https://t.co/uTEw9sGUeC</t>
  </si>
  <si>
    <t>Endividamento
Clique no Link da BIO
#Endividamento #investimentoobjetivo #LiberdadeFinanceira #Aposentadoria #PlanejamentoFinanceiro #EducaçãoFinanceira https://t.co/MSxc0XukWa</t>
  </si>
  <si>
    <t>Endividamento
Clique no Link da BIO
#Endividamento #investimentoobjetivo #LiberdadeFinanceira #Aposentadoria #PlanejamentoFinanceiro #EducaçãoFinanceira https://t.co/JJ7quKZ8OI</t>
  </si>
  <si>
    <t>💰 Como conquistar a liberdade financeira? 🚀 Afinal todos procuram esta resposta.
#finanças #investimentoobjetivo #investimentos #liberdadefinanceira #planejamentofinanceiro #endividamento https://t.co/U3WpwJBTcK</t>
  </si>
  <si>
    <t>🎉💰🎉 Quer saber como conquistar a liberdade financeira?
#liberdadefinanceira #finançaspessoais #investimentos #planejamentofinanceiro #investimentoobjetivo https://t.co/L99JggNgmL</t>
  </si>
  <si>
    <t>🚫💸 Os 5 itens que impedem a conquista da liberdade financeira afinal quais são?
#liberdadefinanceira #educacaofinanceira #orçamentopessoal #planejamentofinanceiro https://t.co/j5itusENPv</t>
  </si>
  <si>
    <t>💸⚠ Medo de perder dinheiro? Não deixe suas economias irem pelo ralo! Descubra como investir com segurança e alcançar lucros consistentes.📈💰
Saiba Mais em: 
https://t.co/Sl1gXrjHe9
#investimento #liberdadefinanceira #inteligenciaartificial</t>
  </si>
  <si>
    <t>🚫 Fuja das dívidas! 💸💥 Descubra estratégias para evitar o endividamento e proteger seu dinheiro.💰🔒
Saiba Mais em: 
https://t.co/Sl1gXrjHe9
#investimento #liberdadefinanceira #inteligenciaartificial</t>
  </si>
  <si>
    <t>💼🎯 Invista no seu futuro! Reserve sua cópia exclusiva do livro que vai te ajudar a tomar decisões inteligentes e conquistar seus objetivos financeiros.💰🌟
Saiba Mais em: 
https://t.co/Sl1gXrjHe9
#investimento #liberdadefinanceira #inteligenciaartificial</t>
  </si>
  <si>
    <t>🛡💡 Proteja-se das armadilhas! Conheça as estratégias para manter o foco nos seus objetivos financeiros e evitar influências emocionais prejudiciais.🌟💸
Saiba Mais em: 
https://t.co/Sl1gXrjHe9
#investimento #liberdadefinanceira #inteligenciaartificial</t>
  </si>
  <si>
    <t>📊💼 Tenha mais estabilidade financeira! Diversificar sua carteira de investimentos ajuda a minimizar as oscilações do mercado e equilibra seu portifólio. 🌊🛡
Saiba Mais em: 
https://t.co/Sl1gXrjHe9
#investimento #liberdadefinanceira #inteligenciaartificial</t>
  </si>
  <si>
    <t>Endividamento
Clique no Link da BIO
#Endividamento #investimentoobjetivo #LiberdadeFinanceira #Aposentadoria #PlanejamentoFinanceiro #EducaçãoFinanceira https://t.co/qzqhmwVYbM</t>
  </si>
  <si>
    <t>Tipos de Investimentos
Clique no Link da BIO
#Investimentos #investimentoobjetivo #LiberdadeFinanceira #Aposentadoria #Diversificação #RendaPassiva https://t.co/3TJnhBU2hl</t>
  </si>
  <si>
    <t>Especialistas em Investimentos
Clique no Link da BIO
#EspecialistasDeInvestimentos #investimentoobjetivo #LiberdadeFinanceira #Aposentadoria #GestãoFinanceira #Investimentos https://t.co/TgMzxAwQOt</t>
  </si>
  <si>
    <t>Medo de Investir
Clique no Link da BIO
#MedoDeInvestir #investimentoobjetivo #LiberdadeFinanceira #Aposentadoria #EducaçãoFinanceira #Investimentos https://t.co/AfIW9U0JWk</t>
  </si>
  <si>
    <t>Endividamento
Clique no Link da BIO
#Endividamento #investimentoobjetivo #LiberdadeFinanceira #Aposentadoria #PlanejamentoFinanceiro #EducaçãoFinanceira https://t.co/O3NTWszN3q</t>
  </si>
  <si>
    <t>Mentoria em Investimentos
Clique no Link da BIO
#Investimentos #investimentoobjetivo #MentoriaFinanceira #LiberdadeFinanceira #Aposentadoria #EducaçãoFinanceira https://t.co/OnGkPCOF1w</t>
  </si>
  <si>
    <t>Diversificação de Investimentos
Clique no Link da BIO
#Investimentos #investimentoobjetivo #Diversificação #LiberdadeFinanceira #Aposentadoria #SegurançaFinanceira https://t.co/iRrxyVt64S</t>
  </si>
  <si>
    <t>Tipos de Investimentos
Clique no Link da BIO
#Investimentos #investimentoobjetivo #LiberdadeFinanceira #Aposentadoria #Diversificação #RendaPassiva https://t.co/hf93swpIAH</t>
  </si>
  <si>
    <t>Especialistas em Investimentos
Clique no Link da BIO
#EspecialistasDeInvestimentos #investimentoobjetivo #LiberdadeFinanceira #Aposentadoria #GestãoFinanceira #Investimentos https://t.co/VhICixkQSG</t>
  </si>
  <si>
    <t>faz um ano que ByBot começou a atuar ativamente no mercado de arbitragem de criptomoedas. Desde então, conseguimos ajudar milhares de pessoas a conquistarem a tão desejada liberdade financeira! *-*
#investimento #Bybot #Criptomonedas #LiberdadeFinanceira https://t.co/LDVyIBk9vX</t>
  </si>
  <si>
    <t>Dia da caça e dia do caçador, +1 dia top, avante galera !
Win 
#fintwit #ibov #bova11 #viverderenda #liberdadefinanceira https://t.co/Qyz2lSJXd9</t>
  </si>
  <si>
    <t>#neg #lideran #mktdigital #digital #follow #trabalho #art #m #mulheresempreendedoras #instagood #as #liberdadefinanceira #empresa #moda #empreendertransforma #contabilidade #f #cios #investimentos #photography #es #coaching #marketingdigitalbrasil #oportunidade #empreendedora https://t.co/9QkJXXa35n</t>
  </si>
  <si>
    <t>Já pensou em trabalhar com essas Marcas? Faço vendas todos os dias com essas marcas sem investir. Quer aprender como? https://t.co/ufvZsDMTU0 
#ondecomprar #marketingjobs #rendaextra #liberdadefinanceira https://t.co/eWY9afmO9n</t>
  </si>
  <si>
    <t>Costumo falar com bastante frequência que BTC foi a chavinha que mudou minha vida para o aprendizado. Nunca antes eu quis aprender tanto e gerar algum valor através do que eu aprendo. BTC se "cria" de Proof of Work e gera Proof of Work.
#BTC #Cripto #liberdadefinanceira</t>
  </si>
  <si>
    <t>Sinto que falta conteúdo bom, simples e acessível sobre BTC e cripto em português. 🙈🙈
#BTC #ETH #liberdadefinanceira #HODL</t>
  </si>
  <si>
    <t>Clica na opção Bitcoin pra criar a carteira e anota em papel as palavras-chave que vão aparecer. Não perca!! 
Daqui alguns anos vc lembra de me agradecer kkkkkkkkkk
Qqr dúvida de como instalar, qqr pix simbólico de 20 conto, eu ensino direitinho.
#btc #liberdadefinanceira</t>
  </si>
  <si>
    <t>E aí você é rico? Confira quanto você precisa ganhar para estar entre os 10% mais rico do seu estado.
Confira em nosso site os melhores investimentos do momento 👇
https://t.co/G3Nf3LKIA5
Bitcoin Bradesco Todes
#liberdadefinanceira #independenciafinanceira #sucesso https://t.co/E2ZMx1tfXy</t>
  </si>
  <si>
    <t>A forma como você pensa sobre o dinheiro pode ser um obstáculo para alcançar a riqueza que deseja. Mude sua mentalidade em relação ao dinheiro e se tornará uma pessoa próspera e bem-sucedida. 🔥🚀
#educacaofinanceira  #liberdadefinanceira  #mentepositiva #mentalidadederiqueza</t>
  </si>
  <si>
    <t>🚨Invista em você!!!💰💰💰💰
#euquero #liberdadefinanceira</t>
  </si>
  <si>
    <t>🚀 Você sabia que o ChatGPT pode ser a chave para a sua liberdade financeira? Nos acompanhe e descubra como! #ChatGPT #LiberdadeFinanceira</t>
  </si>
  <si>
    <t>🧠
#Mindset #MONEY #bitcoin #BILLIONAIRE #lifestyle #jovemmilionario #sucess #liberdadefinanceira https://t.co/bNbOcUxv0x</t>
  </si>
  <si>
    <t>#liberdadefinanceira #ganharseguidores #dinheiroonline #trabalharemcasa #investimento #ganhardinheiroonline #vendas #investimentos #cil #ganhardinheiroemcasa #comoganhardinheiro https://t.co/mHY7OOMJU2</t>
  </si>
  <si>
    <t>Pois é! Essa é a vida de muitos investidores.
Conhece alguém assim? 😅
#meme #bolsadevalores #humor #satira #bancos #investidor #economia #foco #liberdadefinanceira https://t.co/x1dUbjvvzr</t>
  </si>
  <si>
    <t>🔥🙏🏻Ganhe dinheiro enquanto faz o que ama! Descubra oportunidades inovadoras que unem paixão e lucratividade para uma renda extra gratificante. 💼❤️
🔥🚀Link na Bio!
#liberdadefinanceira #liberdadefinanceira💰 #oportunidade #rendaextranainternet #rendaextraideias https://t.co/zxQgxR4hH7</t>
  </si>
  <si>
    <t>🔥Seja dono do seu próprio destino financeiro! Descubra como criar um fluxo constante de renda extra e liberte-se das restrições financeiras. 💼💵
🔥🚀link na Bio!
#rendaextraemcasa #rendaextraonline #rendaextra #dinheiroextra #liberdadefinanceira #liberdadefinanceira💰 https://t.co/4ELbkc0FKk</t>
  </si>
  <si>
    <t>Explore seu potencial empreendedor e descubra oportunidades de renda extra que podem mudar sua vida. Não espere mais para alcançar seus sonhos! ✨💰
#rendaextra #dinheiroextra #dinheiroonline #rendaextraemcasa #liberdadefinanceira https://t.co/eUg5j7TXXF</t>
  </si>
  <si>
    <t>Compartilhe com quem está precisando de uma motivação para alcançar os objetivos desejados! 🚀🔥
Acesse o Site 
O link está na Bio ✅
#empreendedorismo #foco #objetivos #liberdadefinanceira #Negocios #vendas https://t.co/LyEjm4a6jU</t>
  </si>
  <si>
    <t>O poder da liberdade
#liberdadefinanceira #marketindigital #cdricos #dinheiro #dinheiroextra #empreendedorismo https://t.co/1sPJNm3tSo</t>
  </si>
  <si>
    <t>#formação #finanças #motivacao  #sucesso 
#educaçãofinanceira #liderança
#desenvolvimentopessoal #MarketingDigital 
#mentesmilionárias #investimentos 
#liberdadefinanceira</t>
  </si>
  <si>
    <t>Comece a ganhar dinheiro com um clique hoje! Inscreva-se agora para ter acesso a nossa plataforma e descubra várias formas para destravar sua liberdade financeira!!
Inscreva-se já https://t.co/p3eo2Gccsi
#liberdadefinanceira https://t.co/K4Xrj1MigG</t>
  </si>
  <si>
    <t>Comprar um imóvel é investir no seu futuro e na sua liberdade financeira. Diga adeus ao aluguel e faça um investimento que realmente vale a pena! #casapropria #investimentoseguro #liberdadefinanceira</t>
  </si>
  <si>
    <t>Qual é o PIOR país da zona Euro em literacia financeira? 💸
Vota e vê a resposta em baixo nos comentários 👇
#AI#literaciafinanceira #financialiteracy #FinancialFreedom #liberdade #liberdadefinanceira 
Sinta-se à vontade para me seguir @moneymentorX!</t>
  </si>
  <si>
    <t>Essa SEMPRE será a minha mensagem aqui na internet, estou fazendo meu papel, o meu propósito!
Corra atrás do conhecimento, pois ele liberta, assim como eu me libertei!
#liberdade #liberdadeintelectual #liberdadefinanceira #descentralização https://t.co/S4iutjloYr</t>
  </si>
  <si>
    <t>Que programas/podcasts 🇵🇹 seguem? ( dos que promovem a literacia financeira )
#literaciafinanceira #liberdadefinanceira #investimento #podcasting #podcast</t>
  </si>
  <si>
    <t>Liberte-se das amarras financeiras! Com a criptomoeda MELD, a chave da liberdade está em suas mãos. Assuma o controle de seu destino financeiro e abra as portas para uma nova era de independência e prosperidade. 💰✨ #MELD #LiberdadeFinanceira #AssumaOControle @MELD_Defi</t>
  </si>
  <si>
    <t>👉 Acompanhe minha jornada, siga-me e fique por dentro de conteúdos valiosos para impulsionar sua carreira e empreendimento!
#empreendedorismo #liberdadefinanceira #liberdadegeografica #propósito #estratégias</t>
  </si>
  <si>
    <t>Para saber essas e outras estratégias para você gerir suas finanças e investir do jeito certo, clique no link da bio e se inscreva para a maratona da virada financeira.
#investidoriniciante  #mentemilionaria #liberdadefinanceira #PréRico  #skininthegame 
https://t.co/Y35yOvzIO1</t>
  </si>
  <si>
    <t>Você também foi FISGADO para essa ARMADILHA sem fim?
Então te convido para sair dessa prisão participando da maratona da virada financeira. 
#investidoriniciante  #mentemilionaria #liberdadefinanceira #PréRico #meta #economia #finançaspessoais 
https://t.co/MKggfYquus</t>
  </si>
  <si>
    <t>Se inscreva na maratona da virada financeira através do link da bio.
Dia 14 de janeiro! Garanta sua vaga! 
#liberdadedeescolha #liberdadefinanceira💰 #liberdadefinanceira #prosperidadefinanceira #dicasfinanceiras #vidafinanceira #investidoriniciante
https://t.co/rVYRDnc2e6</t>
  </si>
  <si>
    <t>Qual o próximo passo após a reserva de emergência? 
Clique e saiba mais! 
#investidoriniciante  #mentemilionaria #liberdadefinanceira #PréRico #minutodariqueza #viverderenda #skininthegame #empreender #midset  #cartaodecredito #finançaspessoais
https://t.co/F3GniaAwYz</t>
  </si>
  <si>
    <t>Você tá gastando o dinheiro que não é seu?
CUIDADO! Isso pode te trazer resultados não tão agradáveis para a sua saúde financeira. 
#investidoriniciante #mentemilionaria #liberdadefinanceira #PréRico #minutodariqueza #viverderenda #skininthegame 
https://t.co/FqItwV5MIa</t>
  </si>
  <si>
    <t>Esperançoso pelos 51% e triste pelos 23%. Feliz pela grande maioria querer uma vida melhor.
#dinheiro #investir #investimento #futuro #liberdadefinanceira https://t.co/wOPlLsh0sj</t>
  </si>
  <si>
    <t>Se você recebesse dividendos suficientes para jantar fora hoje (sábado), aonde iria?
#jantar #dividendos #dinheiro #liberdadefinanceira</t>
  </si>
  <si>
    <t>Dinheiro: ou você controla o seu, ou ele controla você.
Infelizmente na maioria dos casos, é o dinheiro que controla as pessoas.
#dinheiro #liberdadefinanceira #aprenderainvestir #bolsadevalores #segurança #riqueza</t>
  </si>
  <si>
    <t>Dracma prepare-se 
#DRACMA 
#token 
#liberdadefinanceira 
#criptomoeda https://t.co/t7aQkca4wg</t>
  </si>
  <si>
    <t>Dracma
#Dracma 
#token 
#criptomoeda 
#liberdadefinanceira https://t.co/V6PYQEbHHd</t>
  </si>
  <si>
    <t>Dracma lançamento dia 29/08
#DRACMA #cripitomoeda #token #liberdadefinanceira #lançamento https://t.co/Xp1fuZbDVo</t>
  </si>
  <si>
    <t>DRACMA
#DRACMA #TOKEN #CRIPTOMOEDA #LIBERDADEFINANCEIRA https://t.co/AlfiY2zQwt</t>
  </si>
  <si>
    <t>Dracma token lançamento 
#DRACMA #token #criptomoeda #liberdadefinanceira https://t.co/bbQ0DnmKuH</t>
  </si>
  <si>
    <t>Dracma token lançamento 
#Dracma #cripitomoeda #token #liberdadefinanceira https://t.co/ipshbdn9lZ</t>
  </si>
  <si>
    <t>Uma ótima noite a todos 
#DRACMA #token #liberdadefinanceira #criptomoeda #lançamento https://t.co/E84pfYa5Rb</t>
  </si>
  <si>
    <t>Dracma Gold NFT
listado na https://t.co/7JyUQ3qvbC 
#Dracmatoken
#token
#criptomoeda
#liberdadefinanceira https://t.co/WePOrOxNJ6</t>
  </si>
  <si>
    <t>@ligacrypto Enquanto a população não procurar se informar, é assim que eles vão tratar. #Bitcoin #criptoedas #liberdadefinanceira</t>
  </si>
  <si>
    <t>Randolfe Rodrigues associa Telegram ao nazismo https://t.co/g3z2HpWj3u</t>
  </si>
  <si>
    <t>#brasil
#iptv
#news
#apple
#btc #criptomoedas #blockchain #investimentos #aprenda #mudesuavida #economia #finanças #educaçaofinanceira #investidor #iniciante #sucesso #rico #bitcoin #token #web3 #metaverso #cripto #liberdadefinanceira #brasil #criptoativos #defi #web3 #crypto #nf</t>
  </si>
  <si>
    <t>Sem tabu, e pra você, o que é o Dinheiro? Comenta aí 👇🏻🤑
.
#dinheiro #dinheiroextra #dinheiroonline #dinheiroemcasa #rendaextra #liberdadefinanceira #cash #mepoupe #marketingdigital #negocios #empreendedorismo https://t.co/m60UL43tk6</t>
  </si>
  <si>
    <t>MedPulse - Logo Design (Unused )
Follow me : @graphichood24
30 Days logo challenge_Day 4 With : @Vectplus7
#vectplus
#logo #logodesinger #logoinspire #logos #logoroom #logoconcept #logobrand #logoprocess #professionallogo #finance #liberdadefinanceira #finances #personalfinance https://t.co/CCMabDgciF</t>
  </si>
  <si>
    <t>"No matter how much money you have, if you don't have financial education, you're a slave to money." -Robert Kiyosaki 
#EducaçãoFinanceira #LiberdadeFinanceira #GestãoDeDinheiro #PlanejamentoFinanceiro #FinançasPessoais #IndependenciaFinanceira</t>
  </si>
  <si>
    <t>"Não importa quanto dinheiro você tem, se você não tem educação financeira, você é um escravo do dinheiro." - Robert Kiyosaki
#EducaçãoFinanceira #LiberdadeFinanceira #GestãoDeDinheiro #PlanejamentoFinanceiro #FinançasPessoais #IndependenciaFinanceira</t>
  </si>
  <si>
    <t>Comenta aqui "eu quero"
.
#mercadofinaceiro #MarketingDigital #liberdadefinanceira #adolescentes #Noticias https://t.co/6hu9U4lVmF</t>
  </si>
  <si>
    <t>SEGMENTOS – FUNDOS IMOBILIÁRIOS PARA 2023 #fiis #fundoimobiliário #investimento #liberdadefinanceira https://t.co/8EnlqBoAbS</t>
  </si>
  <si>
    <t>📊Qual desses indicadores você mais achou fácil e gostou? Deixe aqui nos comentários 👇🏻
#investidor #daytrader #swingtrader #ações #viverderenda #rendavariavel #liberdadefinanceira #comoinvestir #mercadofinanceiro #dinheiroemcasa #ibovespa #bolsadevalores #rendaextra #dinheiro https://t.co/7lqoOp3qP5</t>
  </si>
  <si>
    <t>😉 "Se você está sonhando com aquelas férias luxuosas 🏖️, o #Bitcoin pode ser o caminho para torná-las realidade! 🚀 Vamos juntos nessa viagem rumo ao sucesso financeiro. #liberdadefinanceira #criptomoedas" https://t.co/EdaMKGNUht</t>
  </si>
  <si>
    <t>How To Manage Your Finance For Your Future.
.
.
.
.
#finance #liberdadefinanceira #financeiro #financegoals #financebroker #financeeducation #realestate  #realestateagent #realestateinvestors #realestateteam #realliferealestate #realtestate #finance #liberdadefinanceira https://t.co/OwIumqArXd</t>
  </si>
  <si>
    <t>📚 #KuCoinLearn: Como fazer renda passiva com stablecoins
🚀 Stablecoins podem ser nosso porto seguro em um bear market. Descubra os segredos de ganhar renda passiva com stablecoins! 
👉 https://t.co/z6zPEiviMF
#RendaPassiva #Stablecoins #LiberdadeFinanceira #PYUSD https://t.co/KMHGSiBNTW</t>
  </si>
  <si>
    <t>Se permita* mudar de vida também !! #MarketingDigital #liberdadefinanceira https://t.co/bwstj0JYyS</t>
  </si>
  <si>
    <t>CURSO DE BALÕES:
Oportunidade de conquistar a liberdade financeira através da arte com balões
https://t.co/qQmyqaavRQ
#CursodeBaloes #Barreiras #LiberdadeFinanceira #ArtecomBaloes #Oportunidade #Noticias @mecbalões</t>
  </si>
  <si>
    <t>Hoje é dia de ADORAR A DEUS!
📲 +5551981708833
🔗 https://t.co/F09yYc32Z3
- - -
#MudançaDeVida #Crescimento #Prosperidade #ViverMelhor #Investimentos #Bitcoin #LiberdadeFinanceira #WeweGlobal #Multinivel #LifeStyle #JulioNafe #AD55 #AD55Online #ADCachoeirinha #ADVales #CEU https://t.co/ugjWYQn9aP</t>
  </si>
  <si>
    <t>Não sou "Jogos Vorazes", mas hoje também trouxe meu #tbt 
📲 +5551981708833
🔗 https://t.co/F09yYc2v9v
- - -
#MudançaDeVida #Crescimento #Prosperidade #ViverMelhor #Investimentos #Bitcoin #LiberdadeFinanceira #WeweGlobal #Multinivel #LifeStyle #JulioNafe #AD55 #AD55Online https://t.co/oWD7PgbqWa</t>
  </si>
  <si>
    <t>Culto de Domingo #ad55 
Recebendo conhecimento para #compartilhar com todos.
📲 +5551981708833 
🔗 https://t.co/F09yYc2v9v
- - -
#MudançaDeVida #Crescimento #Prosperidade #ViverMelhor #Investimentos #Bitcoin #LiberdadeFinanceira #WeweGlobal #Multinivel #LifeStyle #JulioNafe https://t.co/AHCz3byOlB</t>
  </si>
  <si>
    <t>Ganhe com Mercados Digitais!
1.000
10.000
100.000
1.000.000
???????????
Qual tamanho do seu sonho?
📲 +5551981708833 
🔗 https://t.co/F09yYc2v9v
- - -
#MudançaDeVida #Crescimento #Prosperidade #ViverMelhor #Investimentos #Bitcoin #LiberdadeFinanceira #WeweGlobal #Multinivel https://t.co/21w8E9DGCr</t>
  </si>
  <si>
    <t>Rebrand #julionafe
📲 +5551981708833 
🔗 https://t.co/F09yYc2v9v
- - -
#mudançadevida #prosperidade #investimento #bitcoinbr #liberdadefinanceira #weweglob #lifestyle #julionafe #AD55 #AD55Online #CEU #igreja #Jesus #Cristo #Deus https://t.co/cHP3omi4am</t>
  </si>
  <si>
    <t>MAIS UMA aquisição PAGA EM BITCOIN pela WEWE GLOBAL. Terra Nova Bairro Planejado.
📲 +5551981708833 
🔗 https://t.co/F09yYc2v9v
- - -
#MudançaDeVida #Crescimento #Prosperidade #ViverMelhor #Investimento #Bitcoin #LiberdadeFinanceira #WeweGlobal #Multinivel #LifeStyle #JulioNafe https://t.co/OhuTyTpkgP</t>
  </si>
  <si>
    <t>Avance na direção dos melhores resultados, e tenha certeza que para alcançá-los, você trará muitas pessoas junto!
📲 +5551981708833 
🔗 https://t.co/F09yYc2v9v
- - -
#mudançadevida #prosperidade #investimento #bitcoinbr #liberdadefinanceira #weweglob #lifestyle #julionafe #AD55 https://t.co/KZiQ36oP6i</t>
  </si>
  <si>
    <t>Boa Viagem Cida! ❣️✈️
📲 +5551981708833 
🔗 https://t.co/F09yYc2v9v
- - -
#mudançadevida #prosperidade #investimento #bitcoinbr #liberdadefinanceira #weweglob #lifestyle #julionafe #AD55 #AD55Online #CEU #igreja #Jesus #Cristo #Deus https://t.co/4SwY5Rj15p</t>
  </si>
  <si>
    <t>Você vai se tornar uma pessoa extremamente bem sucedida trabalhando com o que você verdadeiramente ama.</t>
  </si>
  <si>
    <t>A expectativa de retorno vale para todos investimentos, incluindo os ativos financeiros em bolsas, moedas, criptos, investimentos alternativos e etc. Sem uma expectativa de retorno saudável e não muito otimista vc fica perdido no escuro.
#liberdadefinanceira
#FIRE</t>
  </si>
  <si>
    <t>"Não troque seu tempo por dinheiro, invista em fontes de renda passiva e deixe seu dinheiro trabalhar para você." #rendapassiva #investimentos #liberdadefinanceira</t>
  </si>
  <si>
    <t>Nunca deixe que desacreditem de você👑 #liberdadefinanceira #sucesso #empreendedorismo https://t.co/KExOHwZVBR</t>
  </si>
  <si>
    <t>O vídeo sobre 𝐏𝐞𝐫𝐟𝐢𝐥 𝐩𝐚𝐫𝐚 𝐈𝐧𝐯𝐞𝐬𝐭𝐢𝐫 😉 já se encontra disponível no 𝐘𝐨𝐮𝐓𝐮𝐛𝐞 🎥
Vídeo disponível em https://t.co/9ezykfiwN9
#Descomplica #FinançasParaTodos #Aprender #Dinheiro #Mercado #YouTube #Investimentos #PerfilParaInvestir #LiberdadeFinanceira https://t.co/xW7nYyP67D</t>
  </si>
  <si>
    <t>Novo artigo no blog sobre a origem do capitalismo. Acesse a bio para ler o artigo completo.
#capitalismo #investimento #investimentos #liberdadefinanceira #independenciafinanceira #educacaofinanceira https://t.co/iq3OyoHr9z</t>
  </si>
  <si>
    <t>Acesse o link para ler o artigo completo : https://t.co/3TyeLxv0lH
#DonaldTrump #robertkiyosaki #finanças #Investimentos #liberdadefinanceira #independenciafinanceira https://t.co/HslgCVAbsW</t>
  </si>
  <si>
    <t>Conheça as estratégia de investimentos do maior investidor do mundo.
https://t.co/TmBhbG3Hzq
#investimento #investimentos #ações #dividendos #liberdadefinanceira #independenciafinanceira https://t.co/RKcg6R3zfY</t>
  </si>
  <si>
    <t>Aprenda 7 dicas de investimento com Luiz Barsi Filho. O maior investidor pessoa física da bolsa.
Acesse o link para ver o artigo completo.
https://t.co/zFzm5Vl52y
#barsi #luizbarsi #finanças #dividendos #liberdadefinanceira #dividendos https://t.co/pPn1k5slGi</t>
  </si>
  <si>
    <t>FL_VIO AUGUSTO - O SEGREDO DA LIBERDADE FINANCEIRA_ _Motiva__o_ #flavioaugusto #liberdadefinanceira #motivacional https://t.co/oFxhUqngEi</t>
  </si>
  <si>
    <t>LI__ES MILION_RIAS QUE V_O MUDAR SUA VIDA_ _Liberdade Financeira_ #liberdadefinanceira #mindset #motivacional https://t.co/OqGjvyV5lQ</t>
  </si>
  <si>
    <t>Nathalia Arcuri _ SEGREDOS PARA ENRIQUECER DO ZERO - Me Poupe #nathaliaarcuri #enriquecer #motivacao #liberdadefinanceira https://t.co/Uvgh610qza</t>
  </si>
  <si>
    <t>ENTENDA ISSO PARA CONQUISTAR SUA LIBERDADE FINANCEIRA _ Flávio Augusto #flavioaugusto #liberdadefinanceira #sucesso #motivacao #motivacional https://t.co/FCasyqMYNB</t>
  </si>
  <si>
    <t>💭Liberdade financeira é algo subjetivo🧐. Alguns precisam de 💰300mil investidos, outros 500mil💰. Da mesma forma, algumas pessoas não alcançam mesmo com milhões🙅‍♂️💵. O que vai determinar são os seus gastos💸 e padrão de vida🏖️🏠 que deseja ter.
#LiberdadeFinanceira… https://t.co/cYEOwNVoZF</t>
  </si>
  <si>
    <t>A organização financeira é fundamental para alcançar a liberdade financeira. Ela permite que você faça escolhas inteligentes com seu dinheiro, invista em ativos que geram renda passiva e planeje seu futuro financeiro. #organizaçãofinanceira #liberdadefinanceira #riqueza https://t.co/NqBvWc0oR3</t>
  </si>
  <si>
    <t>A liberdade é uma obrigação🌎💫
#liberdadefinanceira https://t.co/8ZKZUSiILB</t>
  </si>
  <si>
    <t>Tenha coragem de falar a verdade,tira esse medo de lado e comece hoje,te ensino hj mesmo 🚀💵💻
.
.
.
.
.
#trabalhoemcasa
#dinheiroonline #dinheiro #rendaextra #renda #sucesso #mindset #liberdadefinanceira #empreendedorismo https://t.co/2D3ImCBsBI</t>
  </si>
  <si>
    <t>#doterra #empreendedorismo #liberdadefinanceira #futurobrilhante #sucesso
https://t.co/N9wJMFaPhM
https://t.co/6tbrdvDxkc https://t.co/n6R7Fx9RWH</t>
  </si>
  <si>
    <t>💜💪👩🏼‍💼 #doterra #oportunidadedenegócio #empreendedorismo #liberdadefinanceira #realizaçãopessoal
https://t.co/N9wJMFaPhM
https://t.co/6tbrdvDxkc
@ericaafabricia https://t.co/R455EoAIcb</t>
  </si>
  <si>
    <t>#doterra #empreendedorismo #liberdadefinanceira #futurobrilhante #sucesso
@ericaafabricia
https://t.co/6tbrdvDxkc
https://t.co/N9wJMFaPhM https://t.co/SYCSLnemBs</t>
  </si>
  <si>
    <t>Pingou aí? @Fiis_FI @faveladoinvest #fiis #dividendos #liberdadefinanceira https://t.co/c4hoyhPj87</t>
  </si>
  <si>
    <t>Esse é o último do mês a pagar.🙏🏼🤑. #dividendos #ClearCorretora #BomDia #BuenosDias #GoodMorning #SigaMe #FollowMe #Gratidao @faveladoinvest @FelipeTadewald #LiberdadeFinanceira https://t.co/JSI5KFFnUl</t>
  </si>
  <si>
    <t>Eu amo essas notificações 🤑
#Bomdia #BuenosDiasATodos #BuenosDiasMundo #GoodMorningTwitterWorld #goodmorning #dividendos #clearcorretora #liberdadefinanceira #fiis #gratidão https://t.co/RbHdsqwPO1</t>
  </si>
  <si>
    <t>Aqui pingou... 🤑. 
#dividendos #liberdadefinanceira #Fiis https://t.co/SxVX9aCO7R</t>
  </si>
  <si>
    <t>Bora pra cima 💪🏽🙏🏾.  #Bomdia #BuenosDias #GoodMorning #Dividendos #investimentos #liberdadefinanceira #Gratidão https://t.co/TGoUc9JsWT</t>
  </si>
  <si>
    <t>Pra terminar bem a semana 🙏🏾🤑.
#dividendos #investimentos #liberdadefinanceira #fundosimobiliarios #Fiis #gratidao https://t.co/JYznz4Cs9T</t>
  </si>
  <si>
    <t>📲 Quer saber mais? Entre em contato!
WhatsApp: (62) 98554-4000
#siac #erp #gestão #sistema #empreendedorismo #empreendedordesucesso #oportunidade #liberdadefinanceira #software https://t.co/GD95Eh94Kf</t>
  </si>
  <si>
    <t>Além destes, existem outros mil motivos para você adquirir hoje mesmo o ERP da Siac Sistemas. Leve mais profissionalização para o seu negócio, conte com a gente!
#siac #erp #gestão #sistema #empreendedorismo #empreendedordesucesso #oportunidade #liberdadefinanceira #software https://t.co/Nrvdas3Eox</t>
  </si>
  <si>
    <t>Para apoiar o governo atual é necessário muita cegueira para acreditar nas mentiras contadas. 
 O que você acha sobre isso?
———
#pt #ptnao #governo #estado #politica #liberdade #economia #liberdadefinanceira #brasil #conservadorismo https://t.co/HhaXhs965c</t>
  </si>
  <si>
    <t>prazos. Na sequência, entenda os sacrifícios que serão necessários.    Sacrifícios não são sofrimento quando no final você tem uma grande recompensa.    #keepgrowingmentoria #desenvolvimentopessoal #reflexão #dinheiro #liberdadefinanceira #sonhos #planos #viagens #conquistas</t>
  </si>
  <si>
    <t>Já segue nosso canal no Youtube? Confira em nosso canais vídeos como esse “Por que não fico rico?”
#keepgrowingmentoria  #desenvolvimentopessoal #dinheiro #liberdadefinanceira #investimentos #inteligênciafinanceira #inflação #tesourodireto #ipca #Selic #futuromelhor #investimento https://t.co/KTm3pdqQ3u</t>
  </si>
  <si>
    <t>nível de proteção diferente, umas protegem mais e outras menos!  
#keepgrowingmentoria #makeyourfuture #desenvolvimentopessoal #realização #liberdadefinanceira #educaçãofinanceira #mentoria #inteligenciafinanceira #dinheiro #investir #investimentos #ações #investidoresiniciantes</t>
  </si>
  <si>
    <t>Nosso mentor preparou essa dica especial para você que está desejando iniciar sua organização financeira e iniciar a investir.
#keepgrowingmentoria #realização #liberdadefinanceira #educaçãofinanceira #mentoria #inteligenciafinanceira #dinheiro #investir #investimentos #ações https://t.co/OpyboQF0pm</t>
  </si>
  <si>
    <t>ideias que podem te levar ao triunfo!  #keepgrowing #keepgrowingmentoria #makeyourfuture #educaçãofinanceira #educaçãofinanceiraparacrianças #dinheiro #liberdadefinanceira #napoleonhill #novasideias #mudanças #triunfo #evolução #conquistas</t>
  </si>
  <si>
    <t>E ai conte o qual a sua maior dificuldade?
#keepgrowing #keepgrowingmentoria #makeyourfuture #desenvolvimentopessoal #disciplina #iteligenciafinanceira #gastos #controlandogastos #educaçãofinanceira #dinheiro #economia #economize #invista #investimentos #liberdadefinanceira https://t.co/aAK1JhZo72</t>
  </si>
  <si>
    <t>Como está a sua organização financeira? Foque na sua evolução.
#keepgrowing #keepgrowingmentoria #makeyourfuture #desenvolvimentopessoal #liberdadefinanceira #liberdade #inteligenciafinanceira #educaçãofinanceira #desenvolvimentofinanceiro #organizaçãofinanceira https://t.co/CYY5DgK4P8</t>
  </si>
  <si>
    <t>Preparamos para você um desafio semanal para te auxiliar a conquistar a riqueza. E aí aceita esse desafio?
https://t.co/bzB0beuj4I
#keepgrowing #desafio #riqueza #dinheiro #liberdadefinanceira</t>
  </si>
  <si>
    <t>Responda para nós, sua realidade é a coluna da esquerda ou direita?
Lembre-se na vida é tudo questão de prioridades. Você está focando nos prazeres momentâneos ou em na sua Liberdade Financeira futura?
#keepgrowingmentoria #makeyourfuture  #dinheiro #liberdadefinanceira https://t.co/2UUpejmCqp</t>
  </si>
  <si>
    <t>Personalizamos a mentoria de acordo com os seus objetivos e metas. Entre em contato e nos conte sobre seus sonhos contato@keepgrowing.com.br
#keepgrowingmentoria #desenvolvimentopessoal #liberdadefinanceira #educaçãofinanceira #dinheiro #menor #mentoria #objetivos #metas</t>
  </si>
  <si>
    <t>Preparamos para você uma lista com os melhores podcast's de Finanças para você se manter informado
https://t.co/nwtNlXcuRU
#keepgrowing #podcast #finanças #liberdadefinanceira #dinheiro #educaçãofinanceira</t>
  </si>
  <si>
    <t>você deve primeiro saber seu custo de vida. Depois multiplicar por 6 se você tiver emprego formal, ou por 12, se você for autônomo. 
#keepgrowingmentoria #dinheiro #liberdadefinanceira #investimentos #inteligênciafinanceira #segurançafinanceira #orçamentofamiliar #futuromelhor</t>
  </si>
  <si>
    <t>Você está no caminho certo?
#keepgrowing #keepgrowingmentoria #makeyourfuture #desenvolvimentopessoal #liberdadefinanceira #evolução #mentalida #desenvolvimento #riqueza #mentalidadederiqueza #dinheiro #investir #investimentos #rendapassiva #rendaativa https://t.co/HoKecBorCf</t>
  </si>
  <si>
    <t>Programe sua aposentadoria o mais rápido possível.
#keepgrowingmentoria  #realização #liberdadefinanceira #aposentadoria #inteligenciafinanceira #dinheiro #investir #investimentos #ações #inss #dinheiro #velhice #educaçãofinanceira #inteligenciafinanceira https://t.co/of4IUdsHGb</t>
  </si>
  <si>
    <t>escolhas e cultivar a mentalidade correta, seus resultados não serão questão de sorte, mas sim questão de tempo.
#keepgrowingmentoria #liberdadefinanceira #mentalidadederiqueza #conhecimento #desenvolvimentopessoal #dinheiro</t>
  </si>
  <si>
    <t>Você concorda?
#keepgrowing #keepgrowingmentoria #makeyourfuture #desenvolvimentopessoal #conquistas #sonhos #realização #rico #riqueza #serrico #liberdadefinanceira #dinheiro #liberdadegeografica #saúde #relacionamento https://t.co/EyRxhGnl8I</t>
  </si>
  <si>
    <t>simplesmente seguimos o caminho mesmo em meio a dificuldades e imprevistos.
Onde você quer chegar? Foque nisso e siga firme! Desanimar no meio do caminho e desistir não podem ser uma opção!
#keepgrowingmentoria #desenvolvimentopessoal #riqueza #investimentos #liberdadefinanceira</t>
  </si>
  <si>
    <t>Listamos para você 6 formas para sobrar dinheiro no final do mês.
Não esqueça de salvar para consultar depois e enviar para aquele amigo que precisa.
 #keepgrowingmentoria #makeyourfuture #desenvolvimentopessoal #poupança #dinheiro #inteligenciafinanceira #liberdadefinanceira https://t.co/UYLns9cfJq</t>
  </si>
  <si>
    <t>Como eu investiria pra viver de renda? #liberdadefinanceira https://t.co/StOZHIRS3b https://t.co/80DQnywFS7</t>
  </si>
  <si>
    <t>Se tu és de Portugal Lisboa então isso é pra ti 
Mega evento 🧠🧠 The future starts now tuor📲💰
#Lisboa #Portugal #evento #liberdadefinanceira #rendaextra #dinheiro https://t.co/JcinQOfKdF</t>
  </si>
  <si>
    <t>#Portugal deveria seguir o exemplo de #ElSalvador e aceitar a #Bitcoin como forma de pagamento para qualquer bem ou serviço. 
#liberdadefinanceira #liberdade #economia #finanças</t>
  </si>
  <si>
    <t>Renda Extra, Mundo Digital https://t.co/F6MQX2JNaa via @YouTube 
#dinheiro #dinheirorenda #EXTRA#dinheiroonline #dinheiroemcasa #sucesso #sucessoprofissional #liberdadefinanceira #liberdade #empreendedorismo
#Me #Chamar no #director
https://t.co/uVoIDRai8A</t>
  </si>
  <si>
    <t>Você sabia que ,  pode se tornar um representante da marca Lift detox Black?
Você pode comprar para uso pessoal ou para revender!
https://t.co/65CYLnrBi0
 #revendedores #spirulina #produtosnaturais 
#liberdadefinanceira https://t.co/dzfk5AJwP7</t>
  </si>
  <si>
    <t>Bitcoin é descentralizado e independente de qualquer jurisdição, lastreado na matemática imutável de seu código. Estude como bitcoin funciona com o Concierge Bitcoin!
#bitcoin #Descentralização #LiberdadeFinanceira #BitcoinÉLiberdade #AntiFragilidade #CriptoMoedas #liberdade https://t.co/vVf3nEv0zy</t>
  </si>
  <si>
    <t>Aqui no Concierge Bitcoin, estamos dedicados a acelerar o seu entendimento de Bitcoin, preparando você para o futuro da economia. 📈🌐
#ConciergeBitcoin #Bitcoin #InstitutoMises #EducaçãoFinanceira #Criptomoedas #LiberdadeFinanceira #misesbrasil #IMB #mises #rothbard #hayek</t>
  </si>
  <si>
    <t>💵  #LibertadFinanciera  #FinancialFreedom  #LiberdadeFinanceira  
#LibertàFinanziaria  #LibertéFinancière
¡ℂ𝕠𝕟𝕢𝕦𝕚𝕤𝕥𝕖 𝕤𝕦 𝕃𝕚𝕓𝕖𝕣𝕥𝕒𝕕 𝔽𝕚𝕟𝕒𝕟𝕔𝕚𝕖𝕣𝕒!
https://t.co/ELZBg1f1dV  https://t.co/F2QWqm4u3X</t>
  </si>
  <si>
    <t>💵  #LiberdadeFinanceira é o resultado de tomar decisões inteligentes e estratégicas em relação ao dinheiro. É a capacidade de viver sem preocupações econômicas e fazer o que realmente importa.
https://t.co/WTienvxkpc https://t.co/sXOAyIgDPu</t>
  </si>
  <si>
    <t>💵  #LiberdadeFinanceira é o resultado de tomar decisões inteligentes e estratégicas em relação ao dinheiro. É a capacidade de viver sem preocupações econômicas e fazer o que realmente importa.
https://t.co/WTienvxkpc  https://t.co/sXOAyIgDPu</t>
  </si>
  <si>
    <t>💡 💵 #LiberdadeFinanceira
https://t.co/WTienvxkpc https://t.co/RNtCjgrkgB</t>
  </si>
  <si>
    <t>🔑 💵  #LiberdadeFinanceira  
“Profissionais de investimento são disciplinados e consistentes e pensam profundamente sobre o que fazem e como o fazem.” 
Benjamin Graham  
https://t.co/WTienvxkpc  https://t.co/cNnXqiE0LH</t>
  </si>
  <si>
    <t>#LiberdadeFinanceira  
Com persistência se alcança a excelência.  
https://t.co/z7nJnS7Sas  https://t.co/0j62vGBT6x</t>
  </si>
  <si>
    <t>💵  #LibertadFinanciera  #FinancialFreedom  #LiberdadeFinanceira  
#LibertàFinanziaria  #LibertéFinancière
¡Cᴏɴǫᴜɪsᴛᴇ sᴜ Lɪʙᴇʀᴛᴀᴅ Fɪɴᴀɴᴄɪᴇʀᴀ!
https://t.co/ELZBg1f1dV  https://t.co/F2QWqm4u3X</t>
  </si>
  <si>
    <t>Investir disciplinadamente, pra daqui uns 3 ano se aposentar, e poder fazer oq ama, sem se importar com a grana ou ir trablhar pra alguém em um serviço ao qual vc odeia.
#liberdade #liberdadefinanceira</t>
  </si>
  <si>
    <t>E a gente acredita tanto nisso que sempre colocamos você em primeiro lugar. 
Evoluir o mundo através das pessoas. Esse é o jeito Evoy de ser!
Chega junto!
#EvoyConsorcios #Evoy #ChegaJunto #Investimento #CartadeCredito #RepresentanteEvoy #Planejamento #LiberdadeFinanceira https://t.co/iVYbvtPesd</t>
  </si>
  <si>
    <t>E você? Até onde quer chegar?
Vem evoluir com a gente, somos a Evoy.
#evoy #evoyconsorcios #consorcios #carro #automovel #investimento #chegajunto #planejamento #investir #clientes #compra #realização #liberdadefinanceira #planejamentofinanceiro https://t.co/nHgJMCh5O6</t>
  </si>
  <si>
    <t>Um método desenvolvido para
mulheres que buscam a sua liberdade
financeira e querem utilizar a internet
como meio para construir um negócio
sólido, lucrativo e exponencial.
⬇️⬇️⬇️
https://t.co/Kd80rvQKks
#sejapatroa
#liberdadefinanceira https://t.co/t0AYRut3Ks</t>
  </si>
  <si>
    <t>#liberdadefinanceira #educaçãofinanceira</t>
  </si>
  <si>
    <t>Qual é a sua definição de prosperidade?
Para nós, é ter liberdade financeira para realizar sonhos, mas também ter tempo para desfrutar da vida com as pessoas que amo. 
E para você, o que é prosperidade? 🤔💰❤️ #prosperidade #tempo #liberdadefinanceira #Deus #espiritualidade</t>
  </si>
  <si>
    <t>Conheça 3 hábitos financeiros saudáveis
#finanças #planejamentofinanceiro #sucesso #metasfinanceiras #liberdadefinanceira #planejamentofinanceiro #FinançasPessoais #Orçamento #ControleFinanceiro https://t.co/BC2miUkCly</t>
  </si>
  <si>
    <t>📊 Consultoria Financeira Especializada para Micros e Pequenas Empresas e Pessoa Física!
🔍 Diagnóstico Gratuito por Vídeo Conferência!
So manda mensagem que eu retorno
#liberdadefinanceira #educacaofinanceira #educaçãofinanceira #consultoriafinanceira #financeira https://t.co/47UxrMGQiK</t>
  </si>
  <si>
    <t>The keys to your financial freedom. Play them wisely
.
.
.
#finance #libertadfinanciera #liberdadefinanceira #finances #personalfinance #financetips #mercadofinanceiro #educacionfinanciera #educacaofinanceira #planejamentofinanceiro #independenciafinanceira #educaçãofinanceira https://t.co/ltpHCoycnb</t>
  </si>
  <si>
    <t>#educacaofinanceira #comoinvestir #mercadofinanceiro #investimentos #liberdadefinanceira  #EUA  #REALESTATE #investimentoimobiliario #sp500 #VNQ #DIVIDENDS #nyse #NYSE #sp500 #NASDAQ #EQIX #EQUINIX #DATACENTER #imoveis #comercio #lajes</t>
  </si>
  <si>
    <t>17 anos de crescimento trimestral, um histórico mais longo do que qualquer outra empresa no S&amp;amp;P 500. 
#investimentosbrasileexterior #investimentobrasil #investimentoexterior #reit #reits #ações #dividendos #longoprazo #liberdadefinanceira #planejamentofinanceiro #viverderenda</t>
  </si>
  <si>
    <t>Alemanha, Gana, Índia, Quênia, México, Níger, Nigéria, Paraguai, Peru, Filipinas, Polônia, África do Sul, Espanha e Uganda.
#investimentosbrasileexterior #investimentobrasil #investimentoexterior #reit #reits #ações #dividendos #longoprazo #liberdadefinanceira</t>
  </si>
  <si>
    <t>#liberdadefinanceira #juros #conhecimento #estudo #aprender #frases #pensadores #ideias #pensamentododia #instathoughts #frasedodia #investimento 
#provérbios #enriquecer #sabedoria</t>
  </si>
  <si>
    <t>propriedades de armazenamento remoto em Indiana, Ohio, Illinois e Kentucky.
#investimentosbrasileexterior #investimentobrasil #investimentoexterior #reit #reits #ações #dividendos #longoprazo #liberdadefinanceira #planejamentofinanceiro #viverderenda #educacaofinanceira</t>
  </si>
  <si>
    <t>#planejamentofinanceiro #viverderenda #educacaofinanceira #comoinvestir #mercadofinanceiro #investimentos #liberdadefinanceira #BCFF #BCFF11 #MAXIRENDA #BTG #rendimentos https://t.co/4ykJpq6fSL</t>
  </si>
  <si>
    <t>e oeste da Europa, sob arrendamentos líquidos de longo prazo com escalonamentos de aluguel embutidos.
#investimentosbrasileexterior #investimentobrasil #investimentoexterior #reit #reits #ações #dividendos #longoprazo #liberdadefinanceira #planejamentofinanceiro #viverderenda</t>
  </si>
  <si>
    <t>e médica; agências de pesquisa do governo dos EUA; organizações sem fins lucrativos; e empresas de capital de risco. 
#investimentosbrasileexterior #investimentobrasil #investimentoexterior #reit #reits #ações #dividendos #longoprazo #liberdadefinanceira #planejamentofinanceiro</t>
  </si>
  <si>
    <t>*RENTABILIDADE PASSADA NÃO REPRESENTA GARANTIA DE RENTABILIDADE FUTURA.
#investimentosbrasileexterior #investimentobrasil #investimentoexterior #rendavariável #bolsadevalores #longoprazo #comoinvestir #liberdadefinanceira #ações #dividendos #lucroconstante #lucrosconstantes</t>
  </si>
  <si>
    <t>localizadas em todos os 48 estados continentais e contendo aproximadamente 40,1 milhões de pés quadrados de espaço bruto para venda.
#investimentosbrasileexterior #investimentobrasil #investimentoexterior #reits #ações #longoprazo #liberdadefinanceira #planejamentofinanceiro</t>
  </si>
  <si>
    <t>#liberdadefinanceira #ipca #cdi #igpm #HABT11 #HABT #VORTX  #CRI #papel</t>
  </si>
  <si>
    <t>#liberdadefinanceira  #EUA  #REALESTATE #investimentoimobiliario #sp500 #VNQ #DIVIDENDS #nyse #NYSE #sp500 #MAA #MIDAMERICAAPARTMENTCOMMUNITIES #IMOVELRESIDENCIAL #apartamento #multifamiliar</t>
  </si>
  <si>
    <t>#viverderenda #educacaofinanceira #comoinvestir #mercadofinanceiro #investimentos #liberdadefinanceira #ipca #cdi #igpm #HGRU #HGRU11 #CSHG #CREDITSUISSE #rendimentos #HIBRIDO #rendaurbana #varejo</t>
  </si>
  <si>
    <t>#planejamentofinanceiro #viverderenda #educacaofinanceira #comoinvestir #mercadofinanceiro #investimentos #liberdadefinanceira #irdm11 #irdm #CRI #papel #iridium #BTG #btgpactual https://t.co/JUj9vhf8zg</t>
  </si>
  <si>
    <t>Investiu como sócio nas ferrovias do Recife e de Salvador que chegavam até o Rio São Francisco, entre vários outros empreendimentos.
#investimentosbrasileexterior #investimentobrasil #investimentoexterior #longoprazo #comoinvestir #liberdadefinanceira #juros #conhecimento</t>
  </si>
  <si>
    <t>A chave para a liberdade financeira está em suas mãos! Experimente nosso produto de renda extra e desbloqueie um mundo de possibilidades.  #LiberdadeFinanceira  #RendaExtra #Possibilidades
https://t.co/6dCdL9tqVc https://t.co/8qbCfx7esY</t>
  </si>
  <si>
    <t>Conquiste sua liberdade financeira agora mesmo! Com nosso produto de renda extra, você está a um passo de uma vida mais próspera #LiberdadeFinanceira #RendaExtra #VidaPróspera
https://t.co/6dCdL9tqVc https://t.co/hPor681GMl</t>
  </si>
  <si>
    <t>Faça seu dinheiro trabalhar para você! Com nosso produto de renda extra, você pode desfrutar de mais liberdade e tranquilidade financeira.#DinheiroTrabalhando  #RendaExtra  #LiberdadeFinanceira https://t.co/7YFqSThSSl</t>
  </si>
  <si>
    <t>Quer mais liberdade financeira? Nosso produto de renda extra é a resposta! Invista em si mesmo e colha os frutos do sucesso. #LiberdadeFinanceira #RendaExtra #InvistaEmVocê https://t.co/kc7C1BZbl8</t>
  </si>
  <si>
    <t>Não lute com o azar, faça como os mais de 10 mil clientes que escolheram o byebnk para proteger seu patrimônio. Venha investir com nosso time de especialistas! https://t.co/xf9qZtqYeT 
//
#sexta13 #sextou #liberdadefinanceira #economia #investimentos #negócios #empreender https://t.co/rpfHUr4NYV</t>
  </si>
  <si>
    <t>O mercado pode estar subestimando a inflação e isso pode afetar sua vida.
Saiba que o byebnk pode te ajudar, fale com nossos especialistas: https://t.co/WzK2eKLsJC 
#inflação #inflaçãoglobal #liberdadefinanceira #economia #investimentos  #negócios #empreendedor https://t.co/tqZnp9D1aL</t>
  </si>
  <si>
    <t>Basta reduzir a carga tributária das empresas nacionais que elas vão voar seu 'ĵênio'.
#liberdadefinanceira 
#rendavariavel 
#rendapassiva 
#educacaofinanceira 
#investimento
#independênnciafinanceira
#economia
#criptomoedas
#motivação
#atualidades 
#desenvolvimentopessoal https://t.co/X9w0CQO5iz</t>
  </si>
  <si>
    <t>Lembre-se, alcançar a liberdade financeira é uma jornada contínua. Seja paciente, continue aprendendo e apoiando-se e você chegará lá. #DesenvolvimentoPessoal #Investimentos #LiberdadeFinanceira #Relacionamentos</t>
  </si>
  <si>
    <t>Prof: "tá prestando atenção na aula?"
Eu:👇🏼
https://t.co/c31lyTdHNN
#liberdadefinanceira #fypシ #plr #money #sucesso #rendaextraonline #afiliados #marketingdigital #milionário #empreendedorismo #primeiravenda #empreendedor #marketing #dropshipping #kiwify #legado https://t.co/EPHIYpuHJo</t>
  </si>
  <si>
    <t>E Vc, Quer Ser Qual Dessas Opções ?
Eu: Milionário, Com Certeza🚀
#liberdadefinanceira #fypシ #plr #money #sucesso #rendaextraonline #afiliados #marketingdigital #milionário #empreendedorismo #LivreParaSer #primeiravenda #empreendedor #marketing #dropshipping #kiwify #legado https://t.co/rulRpzrQat</t>
  </si>
  <si>
    <t>Me chama aqui que explico o que fazer #MarketingDigital #dinheiro #dinheiroextra #liberdadefinanceira https://t.co/Rzy5KYVNQk</t>
  </si>
  <si>
    <t>- Siga: @MESTREMARKETlNG para ver mais vídeos como este 💡
-
-
-
#empreendedorismo  #photooftheday #vibes #motivacao #frasesinspiradoras #dinheiro #sucesso #liberdadefinanceira https://t.co/CrHSfD65On</t>
  </si>
  <si>
    <t>Existem várias regras que determinam quando e como você pode sacar o FGTS (Fundo de Garantia por Tempo de Serviço). 
#finanças #dinheiro #investimentos #economia #riqueza #negócios #investir #liberdadefinanceira #educaçãofinanceira #sucesso #planejamentofinanceiro https://t.co/UR93Oud0AM</t>
  </si>
  <si>
    <t>Ola compartilho minha experiência empreendedora para ajudar você a conquistar a liberdade financeira. Dicas e insights sobre negócios online aqui! Juntos podemos alcançar nossos objetivos! 🚀 #empreendedorismo #negóciosonline #liberdadefinanceira</t>
  </si>
  <si>
    <t>Como vender todos os dias na internet e conquistar a liberdade geográfica e financeira que sempre sonhou. Não perca tempo e leia agora mesmo! 
#plr #vendasonline #liberdadefinanceira #hotmart #afiliado
Link: https://t.co/aL9MvQx1uw https://t.co/TraHWmvTKX</t>
  </si>
  <si>
    <t>Você precisa sair dessa situação negativa! 👎🏻
Nós temos a solução para isso.
Entrem em contato conosco e saiba como funciona. Limpe seu nome e eleve seu score!
Positive-se! ✅
Saiba mais clicando no link na BIOS.
#limpanome #eleveoscore #liberdadefinanceira #positivobrasil https://t.co/WpQpRwyeYi</t>
  </si>
  <si>
    <t>#investimentos #investimento #bolsadevalores #bovespa #rendavariavel #ações #mercadofinanceiro #liberdadefinanceira #finanças #planejamentofinanceiro #trader #stocks  #dinheiro #henleinvestimentos #economia #dividendos #ibovespa #agro #agronegocio #soja #milho #keplerweber https://t.co/6OtaOVbeb4</t>
  </si>
  <si>
    <t>Dinheiro é energia #ferini #motivacional #desenvolvimentopessoal #marketingdigital #marketing #empreendedorismo #mindset #liberdadefinanceira #dinheiro #riqueza #prosperidade #foryou #fy #fypシ゚viral #fypシ #f4f
@FellipeFerini https://t.co/0eMMtFOPt9</t>
  </si>
  <si>
    <t>Observe o ambiente e expanda os seus horizontes #ferini #motivacional #desenvolvimentopessoal #marketingdigital #marketing #empreendedorismo #mindset #liberdadefinanceira #dinheiro #riqueza #prosperidade #foryou #fy #fypシ゚viral #fypシ #f4f @FellipeFerini https://t.co/mDoRaHpkB8</t>
  </si>
  <si>
    <t>Dinheiro precisa de movimento #ferini #motivacional #desenvolvimentopessoal #marketingdigital #marketing #empreendedorismo #mindset #liberdadefinanceira #dinheiro #riqueza #prosperidade @FellipeFerini https://t.co/iGvFZSsuA2</t>
  </si>
  <si>
    <t>Você já construiu o seu pote de paz de espírito?
#ferini #motivacional #desenvolvimentopessoal #marketingdigital #marketing #empreendedorismo #mindset #liberdadefinanceira https://t.co/dy83uIydFP</t>
  </si>
  <si>
    <t>#Repost @mente
——
⚠️LEIA ABAIXO⚠️
- Me siga  para mais vídeos 🔱
-
-
-
#fy #competição #2023 #escolhas #pessoas #talentos #conquista #autoconhecimento #liberdadefinanceira #foconoobjetivo #waizer #mindset #marketingdigital #dinheiroextra https://t.co/n6bthKIfZG</t>
  </si>
  <si>
    <t>fy competição escolhas pessoas talentos conquista autoconhecimento liberdadefinanceira foconoobjetivo waizer mindset marketingdigital dinheiroextra</t>
  </si>
  <si>
    <t>empreendedorismo liberdadefinanceira bemestar</t>
  </si>
  <si>
    <t>rendaextra ganhedinheironainternet twitter prosperidade liberdade liberdadefinanceira</t>
  </si>
  <si>
    <t>profricardoviana educacaofinanceira financaspessoais planejamentofinanceiro liberdadefinanceira organizesuasfinanças</t>
  </si>
  <si>
    <t>independênciadobrasil educaçãofinanceira liberdadefinanceira matemáticafinanceira profricardoviana</t>
  </si>
  <si>
    <t>educaçãofinanceira investimentopessoal liberdadefinanceira</t>
  </si>
  <si>
    <t>finance liberdadefinanceira personalfinance mercadofinanceiro finances educacaofinanceira independenciafinanceira planejamentofinanceiro refinance sucessofinanceiro financeiro financetips</t>
  </si>
  <si>
    <t>taesa b3 investir educaçãofinanceira liberdadefinanceira baixadasantista finanças dinheiro economia dividendos viverderenda ações investimentos mulheresnabolsa praiagrandesp</t>
  </si>
  <si>
    <t>finance liberdadefinanceira personalfinance mercadofinanceiro finances educacaofinanceira independenciafinanceira planejamentofinanceiro refinance sucessofinanceiro financeiro financetips inteligenciafinanceira gestaofinanceira carfinance</t>
  </si>
  <si>
    <t>bpofinanceiro financeiro liberdadefinanceira</t>
  </si>
  <si>
    <t>brics produc economia noticias promo éxito argentina coronavirus pol tica marketingdigital empresas liberdadefinanceira finanzas</t>
  </si>
  <si>
    <t>webitcoin bitcoininvestment robertkiyosaki pairicopaipobre independênciafinanceira invistaemprata invistaemouro invistaembitcoin inteligênciafinanceira mentemilionária dicadeinvestimento opçõesdeinvestimento liberdadefinanceira protejaseufuturo segurançafinanceira</t>
  </si>
  <si>
    <t>goptionbrasil binaryoptions maedesucesso rendaextra bitcoin binance mercadofinanceiro forex trader lifestyle liberdadefinanceira investing</t>
  </si>
  <si>
    <t>ads liberdadefinanceira renda</t>
  </si>
  <si>
    <t>dinheiro rendaextra liberdadefinanceira</t>
  </si>
  <si>
    <t>liberdadefinanceira trabalhocomocelular sucessofinanceiro marketingdigital empreendedorismodigital</t>
  </si>
  <si>
    <t>investimentos educaçãofinanceira melhoresinvestimentos liberdadefinanceira independenciafinanceira mentoria</t>
  </si>
  <si>
    <t>academiadodinheiro investir b3 ações fii liberdadefinanceira educaçãofinanceira aposentadoria mepoupe primorico rendaextra</t>
  </si>
  <si>
    <t>academiadodinheiro investir b3 ações fii liberdadefinanceira</t>
  </si>
  <si>
    <t>25deabril diadaliberdade liberdadefinanceira eloanpt portugal pacodearcos lisboapt</t>
  </si>
  <si>
    <t>feliz brasil rendaextra liberdadefinanceira salário</t>
  </si>
  <si>
    <t>ptnuncamais esquerdanão deus patria familia liberdadefinanceira</t>
  </si>
  <si>
    <t>liberdadefinanceira dividasbancarias jurosabusivos</t>
  </si>
  <si>
    <t>liberdadefinanceira jurosabusivos jurosbaixosjá dividasnuncamais</t>
  </si>
  <si>
    <t>buscaeapreensão jurosabusivos liberdadefinanceira</t>
  </si>
  <si>
    <t>liberdadefinanceira</t>
  </si>
  <si>
    <t>giangarcia liberdadefinanceira homeoffice rendaextraemcasa rendaextra</t>
  </si>
  <si>
    <t>investimentos liberdadefinanceira aquainvest</t>
  </si>
  <si>
    <t>bitcoin criptomilionário atéalua liberdadefinanceira</t>
  </si>
  <si>
    <t>btc web3 riqueza liberdadefinanceira</t>
  </si>
  <si>
    <t>finanças dívida liberdadefinanceira</t>
  </si>
  <si>
    <t>liberdadefinanceira sucesso prosperidade</t>
  </si>
  <si>
    <t>diversificação estratégia liberdadefinanceira reservadeemergência</t>
  </si>
  <si>
    <t>motivação felicidade liberdadefinanceira</t>
  </si>
  <si>
    <t>travel trip viagem liberdadefinanceira empreendedorismo mentoriadecarreira</t>
  </si>
  <si>
    <t>investmenttips liberdadefinanceira</t>
  </si>
  <si>
    <t>bitcoin liberdadefinanceira</t>
  </si>
  <si>
    <t>sucesso liberdadefinanceira</t>
  </si>
  <si>
    <t>empreendedorismo negocios sucesso dinheiro investimentos finanças riqueza negociosonline liberdadefinanceira mindsetmilionario</t>
  </si>
  <si>
    <t>liberdadefinanceira rendavariavel rendapassiva educacaofinanceira investimento independênnciafinanceira economia criptomoedas motivação atualidades desenvolvimentopessoal desenvolvimentoprofissional empreendedorismo utilidadepública curiosidades reels viral</t>
  </si>
  <si>
    <t>iwee homeoffice liberdadefinanceira liberdadegeografica streamer yaar livu fancyme modelo atriz</t>
  </si>
  <si>
    <t>finançaspessoais liberdadefinanceira dicasfinanceiras educaçãofinanceira</t>
  </si>
  <si>
    <t>educaçãofinanceira financaspessoais planejamentofinanceiro financas liberdadefinanceira habitos mentemilionaria independenciafinanceira</t>
  </si>
  <si>
    <t>pairicopaipobre dicadeleitura finançaspessoais educaçãofinanceira investimentos finanças economizar dinheiro planejamentofinanceiro liberdadefinanceira inteligenciafinanceira empreendedorismo ganhardinheiro sucessofinanceiro</t>
  </si>
  <si>
    <t>independenciafinanceira financaspessoais investimento liberdadefinanceira educacaofinanceira financas</t>
  </si>
  <si>
    <t>finançaspessoais financas liberdadefinanceira educacaofinanceira independenciafinanceira</t>
  </si>
  <si>
    <t>mercadofinanceiro finanças investimentos investir comoinvestir educaçãofinanceira financas liberdadefinanceira</t>
  </si>
  <si>
    <t>finanças educaçãofinanceira investimento comoinvestir tesourodireto poupança renda economizar liberdadefinanceira</t>
  </si>
  <si>
    <t>poupar economizar investir educaçãofinanceira finançaspessoais liberdadefinanceira</t>
  </si>
  <si>
    <t>dividendos rendimentos rendapassiva mercadodeações rendavariavel investimentos bolsadevalores investir finanças viverderenda liberdadefinanceira ganhardinheiro</t>
  </si>
  <si>
    <t>tesourodireto poupança rendafixa investimento economizar financas educacaofinanceira liberdadefinanceira independenciafinanceira</t>
  </si>
  <si>
    <t>finanças educaçãofinanceira investimento comoinvestir tesourodireto poupança renda investir liberdadefinanceira</t>
  </si>
  <si>
    <t>investimentos educacaofinanceira independenciafinanceira finançaspessoais finanças liberdadefinanceira riqueza mentemilionaria renda dicasfinanceiras ganhardinheiro economizar</t>
  </si>
  <si>
    <t>financas planejamentofinanceiro independenciafinanceira financaspessoais investimento liberdadefinanceira educacaofinanceira</t>
  </si>
  <si>
    <t>poupança poupar economizar finançaspessoais educaçãofinanceira investimentos finanças planejamentofinanceiro liberdadefinanceira</t>
  </si>
  <si>
    <t>comoinvestir investimento financas planejamentofinanceiro ganhardinheiro independenciafinanceira liberdadefinanceira educaçãofinanceira</t>
  </si>
  <si>
    <t>investimento agronegocio bolsadevalores finanças educaçãofinanceira comoinvestir renda investir liberdadefinanceira</t>
  </si>
  <si>
    <t>milionário liberdadefinanceira rico negao rolex raiamsantos morarfora nomade nomademilionario nomadedigital relogio relogios viajar marketingdigital mindset</t>
  </si>
  <si>
    <t>diganaoaojurosabusivos liberdadefinanceira defendaseusdireitos codigodedefesadoconsumidor</t>
  </si>
  <si>
    <t>liberdadefinanceira finance renda investing investment</t>
  </si>
  <si>
    <t>negóciosonline sucessodigital empreendedorismo liberdadefinanceira</t>
  </si>
  <si>
    <t>reservadeemergencia liberdadefinanceira rendafixa</t>
  </si>
  <si>
    <t>crescimento produtividade estrategiademarketing midiasdigitais negociodigital marketingdeafiliados trabalhoemcasa liberdadefinanceira empreendendorismosocial networking</t>
  </si>
  <si>
    <t>investimentos ganhardinheiro liberdadefinanceira</t>
  </si>
  <si>
    <t>acoes fundosimobiliarios bolsadevalores longoprazo liberdadefinanceira</t>
  </si>
  <si>
    <t>liberdadefinanceira escolhas</t>
  </si>
  <si>
    <t>financaspessoais pagarteprimeiro liberdadefinanceira financas independenciafinanceira</t>
  </si>
  <si>
    <t>ethereum bitcoin zenit weweglobal criptomoeda cloudminting defi ico dao liberdadefinanceira multinivel lifestyle julionafe mudançadevida</t>
  </si>
  <si>
    <t>dracma token liberdadefinanceira criptomoeda</t>
  </si>
  <si>
    <t>liberdadefinanceira invistanoseufuturo</t>
  </si>
  <si>
    <t>apenascomece liberdadefinanceira</t>
  </si>
  <si>
    <t>liberdadefinanceira paixoes</t>
  </si>
  <si>
    <t>trabalhoduro liberdadefinanceira</t>
  </si>
  <si>
    <t>dívidas liberdadefinanceira</t>
  </si>
  <si>
    <t>liberdadefinanceira planejamento investimentos</t>
  </si>
  <si>
    <t>dolareuro marketingdigital liberdadefinanceira rendaextra</t>
  </si>
  <si>
    <t>dólar treinamento sucesso rendaextra liberdadefinanceira homeoffice trabalhoemcasa marketingdigital</t>
  </si>
  <si>
    <t>dolareuro rendaextra liberdadefinanceira</t>
  </si>
  <si>
    <t>dolarblue dolar rendaextra tralhaemcasa oportunidade dinheiro treinamento trabalhoonline liberdadefinanceira</t>
  </si>
  <si>
    <t>investidorinteligente liberdadefinanceira</t>
  </si>
  <si>
    <t>liberdadefinanceira independência vidadossonhos conquisteseusobjetivos</t>
  </si>
  <si>
    <t>criptomoedas bitcoin liberdadefinanceira infogain</t>
  </si>
  <si>
    <t>finanças educaçãofinanceira finançaspessoais planejamentofinanceiro vidafinanceira liberdadefinanceira</t>
  </si>
  <si>
    <t>finanças educaçãofinanceira finançaspessoais investimentos planejamentofinanceiro vidafinanceira dinheiro liberdadefinanceira</t>
  </si>
  <si>
    <t>ganhardinheiro investimentos trading finanças empreendedorismo negócios marketingdigital rendaextra dinheiro sucesso liberdadefinanceira foco motivação economia investir oportunidades trabalharemcasa dinheiroextra independenciafinanceira educacaofinanceira</t>
  </si>
  <si>
    <t>liberdadefinanceira caminhos financaspessoais</t>
  </si>
  <si>
    <t>marketingdigital liberdadefinanceira frasesinspiradoras frasesmotivacionais frasesdiarias mentemilionaria mentedesucesso motivação motivacional fé ambicaomilionaria</t>
  </si>
  <si>
    <t>marketingdigital liberdadefinanceira frasesinspiradoras frasesmotivacionais frasesdiarias mentemilionaria mentedesucesso motivação motivacional fé ambicaomilionaria viral empreendedorismo</t>
  </si>
  <si>
    <t>liberdadefinanceira prosperidade riqueza</t>
  </si>
  <si>
    <t>riqueza liberdadefinanceira</t>
  </si>
  <si>
    <t>cursosonline cursosbaratos mktdigital eduzz vendas money afiliados vendasonline sucessofinanceiro liberdadefinanceira</t>
  </si>
  <si>
    <t>cursosonline mktdigital eduzz vendas afiliados vendasonline liberdadefinanceira</t>
  </si>
  <si>
    <t>marketingdigital motivacao dinheiro liberdadefinanceira marketing</t>
  </si>
  <si>
    <t>marketingdigital markting dinheiro mudedevida liberdadefinanceira</t>
  </si>
  <si>
    <t>marketingdigital marketing dinheiro frasesmotivadoras motivation motivação milionário liberdadefinanceira</t>
  </si>
  <si>
    <t>marketingdigital marketing dinheiro liberdadefinanceira motivation motivação</t>
  </si>
  <si>
    <t>marketingdigital marketing dinheiro motivação liberdadefinanceira milionário</t>
  </si>
  <si>
    <t>marketingdigital marketing dinheiro motivacion liberdadefinanceira inspiration</t>
  </si>
  <si>
    <t>marketingdigital marketing liberdadefinanceira dinheiro motivation motivação</t>
  </si>
  <si>
    <t>marketingdigital dinheiro motivação liberdadefinanceira edit</t>
  </si>
  <si>
    <t>marketingdigital dinheiro liberdadefinanceira motivação edit</t>
  </si>
  <si>
    <t>marketingdigital dinheiro motivação liberdadefinanceira edits</t>
  </si>
  <si>
    <t>marketingdigital motivação dinheiro liberdadefinanceira rico</t>
  </si>
  <si>
    <t>marketingdigital dinheiro motivation liberdadefinanceira edit</t>
  </si>
  <si>
    <t>marketingdigital dinheiro motivação liberdadefinanceira futuro</t>
  </si>
  <si>
    <t>marketingdigital motivação dinheiro liberdadefinanceira edits</t>
  </si>
  <si>
    <t>marketingdigital dinheiro motivação liberdadefinanceira edits milionário</t>
  </si>
  <si>
    <t>marketingdigital dinheiro motivação liberdadefinanceira edit milionário</t>
  </si>
  <si>
    <t>marketingdigital dinheiro motivação edit liberdadefinanceira rico milionário</t>
  </si>
  <si>
    <t>marketingdigital dinheiro motivação liberdadefinanceira edit rico milionário</t>
  </si>
  <si>
    <t>marketingdigital dinheiro motivação edit liberdadefinanceira milionário</t>
  </si>
  <si>
    <t>marketingdigital dinheiro milionário rico liberdadefinanceira motivation motivação edit</t>
  </si>
  <si>
    <t>marketingdigital dinheiro rico motivation motivação liberdadefinanceira milionário edit</t>
  </si>
  <si>
    <t>marketingdigital dinheiro liberdadefinanceira motivation motivação milionário rico</t>
  </si>
  <si>
    <t>marketingdigital dinheiro liberdadefinanceira motivation motivação milionário edit</t>
  </si>
  <si>
    <t>marketingdigital dinheiro liberdadefinanceira motivation motivação</t>
  </si>
  <si>
    <t>marketingdigital dinheiro liberdadefinanceira motivation motivação edit</t>
  </si>
  <si>
    <t>marketingdigital liberdadefinanceira dinheiro motivação milionário</t>
  </si>
  <si>
    <t>marketingdigital liberdadefinanceira dinheiro motivação edit</t>
  </si>
  <si>
    <t>marketingdigital dinheiro liberdadefinanceira edit motivação</t>
  </si>
  <si>
    <t>marketingdigital dinheiro liberdadefinanceira motivação edits</t>
  </si>
  <si>
    <t>marketingdigital dinheiro liberdadefinanceira edits motivação</t>
  </si>
  <si>
    <t>marketingdigital dinheiro liberdadefinanceira</t>
  </si>
  <si>
    <t>liberdadefinanceira emprestimoseguro emprestimoonline dicasfinanceiras educaçãofinanceira</t>
  </si>
  <si>
    <t>liberdadefinanceira financas</t>
  </si>
  <si>
    <t>studiomadehits investidoresdaquebrada tvmadehits investidoresdesucesso jovensinvestidores investidoresdofuturo liberdadefinanceira opções oportunidadesa</t>
  </si>
  <si>
    <t>studiomadehits investidoresdaquebrada tvmadehits empresas opções comoinvestir liberdadefinanceira investimentoseguro investidores</t>
  </si>
  <si>
    <t>studiomadehits investidoresdaquebrada tvmadehits fotografa fotografia foto fotografar fotografando tiktoks tiktokvideos hastag videostaredits trendingvideos viralposts podcast newpodcast podcast empreendimento finanças liberdadefinanceira</t>
  </si>
  <si>
    <t>studiomadehits investidoresdaquebrada tvmadehits empresas opções comoinvestir liberdadefinanceira radioshow viralvideos videoviral tiktokviral videostaredits trendingvideos</t>
  </si>
  <si>
    <t>finance liberdadefinanceira personalfinance mercadofinanceiro finances</t>
  </si>
  <si>
    <t>fwbplanejamentofinanceiro planejamentofinanceiro sonhos investimentos liberdadefinanceira aposentadoria planejamento</t>
  </si>
  <si>
    <t>investimentos dinheiro bolsadevalores investimento mercadofinanceiro o finan empreendedorismo a investir liberdadefinanceira sucesso es as rendaextra economia ed</t>
  </si>
  <si>
    <t>independenciafinanceira investimentos aposentadoria regradetres regrade3 liberdadefinanceira inteligencialimitada thiagofinch finch rogeriovilela vilela</t>
  </si>
  <si>
    <t>independenciafinanceira financaspessoais investimentos rendapassiva gerenciamentodedividas educacaofinanceira aposentadoria consultoriafinanceira liberdadefinanceira planejamentofinanceiro</t>
  </si>
  <si>
    <t>criptomoedas blockchain liberdadefinanceira</t>
  </si>
  <si>
    <t>willow lulu luludapomerania animallovers cachorro cachorrosfofos brasil amor liberdadefinanceira sera lua sol amore</t>
  </si>
  <si>
    <t>liberdadefinanceira investimentos sucesso</t>
  </si>
  <si>
    <t>planejamentofinanceiro investimento poupanca gestaodedinheiro economiapessoal educacaofinanceira liberdadefinanceira segurancafinanceira independenciafinanceira rendapassiva</t>
  </si>
  <si>
    <t>work consultoria treino musculação liberdadegeografica liberdadefinanceira trabalhoonline</t>
  </si>
  <si>
    <t>alexandraseixasacademias liberdadefinanceira vidaplena</t>
  </si>
  <si>
    <t>prosperidade intenção intuição sentimento prosperar ganhardinheiro liberdadefinanceira mecânicaquântica leidaatração inconsciente consciente subconsciente heliocouto</t>
  </si>
  <si>
    <t>pairicopaipobre educaçãofinanceira finançaspessoais investimentos sucessofinanceiro empreendedorismo liberdadefinanceira planejamentofinanceiro educaçãofinanceiraparatodos riquezamental</t>
  </si>
  <si>
    <t>investimentosinteligentes planejamentofinanceiro decisõesinformadas liberdadefinanceira consultoriafinanceira luxcapital</t>
  </si>
  <si>
    <t>rendaextra liberdadefinanceira salariominimo renda</t>
  </si>
  <si>
    <t>mulekadainvestidora economia negócios dividendos sucesso liberdadefinanceira rendapassiva</t>
  </si>
  <si>
    <t>bitcoin buybitcoin</t>
  </si>
  <si>
    <t>bitcoin glaidsonlivre comprebitcoin liberdadefinanceira</t>
  </si>
  <si>
    <t>paraopovo liberdadefinanceira desenvolvimentopessoal</t>
  </si>
  <si>
    <t>liberdade liberdadefinanceira paraopovo</t>
  </si>
  <si>
    <t>bitcoin crypto blockchain educacaofinanceira criptomoedas cryptolife futurofinanceiro moedadigital liberdadefinanceira cryptonoide</t>
  </si>
  <si>
    <t>finance liberdadefinanceira personalfinanc</t>
  </si>
  <si>
    <t>finance liberdadefinanceira financeiro refinance financebroker financemanager intelligenceartificial</t>
  </si>
  <si>
    <t>bolsadevalores investimentos trader dinheiro liberdadefinanceira rendapassiva cdb poupanca acoes fiis</t>
  </si>
  <si>
    <t>rendaextra liberdadefinanceira trabalhardecasa semaparecer mulheres</t>
  </si>
  <si>
    <t>livro finance liberdadefinanceira</t>
  </si>
  <si>
    <t>finance liberdadefinanceira personalfinance mercadofinanceiro finances educacaofinanceira independenciafinanceira planejamentofinanceiro refinance sucessofinanceiro financeiro financetips inteligencia</t>
  </si>
  <si>
    <t>missãoimpossível liberdadefinanceira</t>
  </si>
  <si>
    <t>semijoias liberdadefinanceira empreendedora</t>
  </si>
  <si>
    <t>semijoias liberdadefinanceira semojoiasdeluxo mulheresempreendedoras brincos aneis</t>
  </si>
  <si>
    <t>rendapassiva empreender liberdadefinanceira rico prosperidade prosperidadefinanceira rendaextraemcasa</t>
  </si>
  <si>
    <t>rendaextra liberdadefinanceira</t>
  </si>
  <si>
    <t>liberdadefinanceira dividendos rendapassiva</t>
  </si>
  <si>
    <t>dinheiro rendaextra liberdadefinanceira sucessofinanceiro sonhos</t>
  </si>
  <si>
    <t>empreender empreendedorismo sucesso empreendedor negocios business vendasonline empreendertransforma liberdadefinanceira investimento trabalho</t>
  </si>
  <si>
    <t>finance liberdadefinanceira</t>
  </si>
  <si>
    <t>educaçãofinanceira finançaspessoais planejamentofinanceiro liberdadefinanceira investimentos</t>
  </si>
  <si>
    <t>estoicismo liberdadefinanceira</t>
  </si>
  <si>
    <t>marketingdigital luxurylifestyle liberdadefinanceira riqueza viral</t>
  </si>
  <si>
    <t>empreendedorismo negocios bitcoin liberdadefinanceira</t>
  </si>
  <si>
    <t>lanchonete liberdadefinanceira liderança liderancafeminina</t>
  </si>
  <si>
    <t>lanchonete liberdadefinanceira liderança liderancafeminina lideranças linhaazul</t>
  </si>
  <si>
    <t>lapa liberdade liberdadefinanceira liderança liderancafeminina lideranças limão linhaazul linkedin linkedinbrasil litoralnorte logisticaemsaude</t>
  </si>
  <si>
    <t>jundiai justiça kids kidszone kuara kuarahotel lajes lancamento lancamentos lanchonete lapa lebiscuit leite leodeargan ler liberdade liberdadefinanceira liberdadesp</t>
  </si>
  <si>
    <t>livros finanças liberdadefinanceira top10</t>
  </si>
  <si>
    <t>educaçãofinanceira liberdadefinanceira</t>
  </si>
  <si>
    <t>independenciafinanceira liberdadefinanceira juventudemilionaria</t>
  </si>
  <si>
    <t>nft cripto trading ethereum btc eth brasil investimentos bitcoins mercadofinanceiro liberdadefinanceira criptomoeda criptos criptomoedas</t>
  </si>
  <si>
    <t>finance liberdadefinanceira personalfinance mercadofinanceiro finances educacaofinanceira</t>
  </si>
  <si>
    <t>cashbackatitude liberdadefinanceira sonhegrande empreendacomcashback historiasdetransformacao</t>
  </si>
  <si>
    <t>btc bitcoin liberdadefinanceira volatilidade</t>
  </si>
  <si>
    <t>markentingdigital markentingdeafiliados trabalhoemcasa liberdadefinanceira liberdadegeográfica começandodozero</t>
  </si>
  <si>
    <t>markentingdigital markentingbrasil markentingdeafiliados trabalhoemcasa trabalho liberdadefinanceira liberdadegeográfica começandodozero</t>
  </si>
  <si>
    <t>quempensaenriquece liberdadefinanceira doterra</t>
  </si>
  <si>
    <t>bolsadevalores liberdadefinanceira</t>
  </si>
  <si>
    <t>dívidas liberdadefinanceira planeamentofinanceiro crescimentofinanceiro</t>
  </si>
  <si>
    <t>finanças pessoais liberdadefinanceira</t>
  </si>
  <si>
    <t>cbdcs bitcoin liberdadefinanceira</t>
  </si>
  <si>
    <t>investimentos liberdadefinanceira</t>
  </si>
  <si>
    <t>sejapatroa liberdadefinanceira</t>
  </si>
  <si>
    <t>trader liberdadefinanceira voar experience ia</t>
  </si>
  <si>
    <t>empreendedorismo rendaextra sucesso liberdadefinanceira</t>
  </si>
  <si>
    <t>liberdadefinanceira boralucrar</t>
  </si>
  <si>
    <t>liberdadefinanceira boralucrar segueolider</t>
  </si>
  <si>
    <t>liberdadefinanceira boralucrar segueolider rendimentos</t>
  </si>
  <si>
    <t>rendimentos liberdadefinanceira starbets boralucrar segueolider</t>
  </si>
  <si>
    <t>liberdadefinanceira boralucrar pracimaporra</t>
  </si>
  <si>
    <t>bolsadevalores stock cripto bitcoin investimentos liberdadefinanceira</t>
  </si>
  <si>
    <t>educacaofinanceira liberdadefinanceira independeciafinanceira inteligenciafinanceira</t>
  </si>
  <si>
    <t>bitcoin ancap liberdadefinanceira</t>
  </si>
  <si>
    <t>investimentos liberdadefinanceira moneymarkets</t>
  </si>
  <si>
    <t>liberdadefinanceira ameicosméticos</t>
  </si>
  <si>
    <t>bitcoin criptomoedas resistênciapacífica liberdadefinanceira</t>
  </si>
  <si>
    <t>liberdadefinanceira mercadodeafiliados trabalhandoemcasa mercadodigital</t>
  </si>
  <si>
    <t>dinheiro riqueza liberdade liberdadefinanceira rico</t>
  </si>
  <si>
    <t>liberdadefinanceira marketingdigital mulheresempoderadas mulheresempreendedoras extraordinário</t>
  </si>
  <si>
    <t>forex forextrading criptomoedas investimentos euro usd sucesso liberdadefinanceira</t>
  </si>
  <si>
    <t>motivação sucesso liberdadefinanceira forex</t>
  </si>
  <si>
    <t>forex forextrading iniciante investimentos riqueza liberdadefinanceira</t>
  </si>
  <si>
    <t>investimentos criptomoedas ações rendavariável liberdadefinanceira</t>
  </si>
  <si>
    <t>b3 bolsadevalores dividendos rendapassiva liberdadefinanceira</t>
  </si>
  <si>
    <t>investimentos liberdadefinanceira negocios rendaextra</t>
  </si>
  <si>
    <t>xinxii ebook empreendedoronline liberdadefinanceira áudiolivro sejarico mulheresdenegócios milionária jovemerico</t>
  </si>
  <si>
    <t>criptomoedas bitcoins ganhardinheiro liberdadefinanceira</t>
  </si>
  <si>
    <t>brasil sucesso blockchain dinheiro investimento trader bitcoin foco blockchain criptomoedas binance liberdadefinanceira rendaextra</t>
  </si>
  <si>
    <t>bitcoin ethereum criptomoedas cardanocommunity shibainucoin shibonk gmx gmxholder gains liberdade liberdadefinanceira</t>
  </si>
  <si>
    <t>bitcoin brasil criptomoedas ethereum liberdadefinanceira</t>
  </si>
  <si>
    <t>bitcoin criptomoedas ethereum nft binance coinbase shibainu liberdadefinanceira empreenda</t>
  </si>
  <si>
    <t>bitcoin criptomoedas ethereum brasil investir liberdadefinanceira</t>
  </si>
  <si>
    <t>bitcoin ethereum binance mercadobitcoin criptomoedas liberdade liberdadefinanceira brasil flamengo riqueza otopatamá</t>
  </si>
  <si>
    <t>finance liberdadefinanceira personalfinance mercadofinanceiro finances educacaofinanceira independenciafinanceira planejamentofinanceiro refinance sucessofinanceiro</t>
  </si>
  <si>
    <t>movaseempreendedor empreender liberdadefinanceira</t>
  </si>
  <si>
    <t>liberdadefinanceira motivacao24h fé</t>
  </si>
  <si>
    <t>repost liberdadefinanceira rendavariavel rendapassiva educacaofinanceira investimento independênnciafinanceira economia criptomoedas motivação atualidades desenvolvimentopessoal</t>
  </si>
  <si>
    <t>tradedork forextrading liberdadefinanceira aprendatrading persigaseussonhos</t>
  </si>
  <si>
    <t>tradedork forextrading liberdadefinanceira aprendatrading famíliaacimadetudo</t>
  </si>
  <si>
    <t>tradedork forextrading liberdadefinanceira aprendatrading disciplinaacimademotivação</t>
  </si>
  <si>
    <t>tradedork forextrading liberdadefinanceira aprendatrading sejadisciplinado</t>
  </si>
  <si>
    <t>tradedork forextrading liberdadefinanceira aprendatrading manifestesuavida</t>
  </si>
  <si>
    <t>tradedork forextrading liberdadefinanceira aprendatrading desbloquearliberdade</t>
  </si>
  <si>
    <t>tradedork forextrading liberdadefinanceira aprendatrading conheçaseuvalor</t>
  </si>
  <si>
    <t>espiritosanto vendasonline marketingdigital liberdadefinanceira motivação futebol time foco motivacao objetivo viverdeinternet viverdevendas importação dji drone</t>
  </si>
  <si>
    <t>xzibank liberdadefinanceira economia</t>
  </si>
  <si>
    <t>exnova sonhegrande katiaabreu liberdadefinanceira</t>
  </si>
  <si>
    <t>vendasemaparecer negócioonline liberdadefinanceira</t>
  </si>
  <si>
    <t>eleicoes investimentos dinheiro bolsadevalores investimento mercadofinanceiro finan empreendedorismo investir liberdadefinanceira sucesso rendaextra economia educacaofinanceira investidor</t>
  </si>
  <si>
    <t>frasesdodia frasesmotivacionais frasesreflexivas motivacao mentalidademilionaria futurosmillonarios jovensdesucesso sucessonavida acrediteemvoce mentalidadeempreendedora liberdadefinanceira</t>
  </si>
  <si>
    <t>bitcoin vitalikbuterin criptomoedas política liberdadefinanceira digitalização moedaglobal blockchain inovação futuro</t>
  </si>
  <si>
    <t>bitcoiners cripto criptomoedas liberdadefinanceira</t>
  </si>
  <si>
    <t>finanças liberdadefinanceira habitos</t>
  </si>
  <si>
    <t>oportunidades rendaextra liberdadefinanceira horariosflexiveis praticidade comodidade realizacoesprofissionais treinamentos lucros vantagens saudefinanceira alimentacaosaudavel crescimentopessoal crescimentoprofissional vantagens viagens</t>
  </si>
  <si>
    <t>oportunidadesdeinvestimento poderdonetworking vidadeempreendedor liberdadefinanceira criadoresdeconteúdo gestãodeequipe redeglobal</t>
  </si>
  <si>
    <t>liberdadefinanceira educacaofinanceira cafecombolsa</t>
  </si>
  <si>
    <t>marketingdigital suceso liberdadefinanceira</t>
  </si>
  <si>
    <t>marketingtips suceso liberdadefinanceira marketingdigital</t>
  </si>
  <si>
    <t>blackrat marketingdigital empreender liberdadefinanceira afiliados hotmart prosperidade</t>
  </si>
  <si>
    <t>liberdade dinheiro liberdadefinanceira</t>
  </si>
  <si>
    <t>teoriadedow analisetecnica daytrade swingtrade scalptrade dinheiro investimento mercadosfinanceiros liberdadefinanceira desenvolvimentopessoal dividendos</t>
  </si>
  <si>
    <t>bitcoin satochis btc dolar real mercadofinaceiro liberdadefinanceira financas investimento</t>
  </si>
  <si>
    <t>job jobs agencylife seo socialmedia marketing marketingagency googleads digitalmarketing socialmediatips finance liberdadefinanceira finances mercadofinanceiro personalfinance financetips</t>
  </si>
  <si>
    <t>mercadodigital liberdadefinanceira liberdadegeografica homeoffice</t>
  </si>
  <si>
    <t>liberdadefinanceira liberdadegeografica mercadodigital go</t>
  </si>
  <si>
    <t>finance liberdadefinanceira personalfinance finances</t>
  </si>
  <si>
    <t>liberdadefinanceira sucesso empreendedorismo</t>
  </si>
  <si>
    <t>investimentos liberdadefinanceira trader empreendedorismo empreendedorismodigital empreendedordesucesso estrategia estrategiasdemercadeo</t>
  </si>
  <si>
    <t>investimentos liberdadefinanceira trader empreendedorismo empreendedorismodigital empreendedordesucesso estrategia estrategiasdemercadeo persistencia consistencia sucesso qualidadedevida miamibeach bmfbovespa forex sucesso</t>
  </si>
  <si>
    <t>ganhardinheiroonline trabalhoemcasa liberdadefinanceira</t>
  </si>
  <si>
    <t>liberdade liberdadefinanceira liberdadesp liderança</t>
  </si>
  <si>
    <t>marketing lifestyle liberdadefinanceira</t>
  </si>
  <si>
    <t>marketingderede marketingmultinivel mmnbrasil negocios robertkiyosaky donaldtrump rendapassiva rendaresidual liberdadefinanceira empreendedorismo</t>
  </si>
  <si>
    <t>jornada2x gpa caiocalderaro liberdadefinanceira ganhanainternet</t>
  </si>
  <si>
    <t>rendimentos escravos liberdadefinanceira</t>
  </si>
  <si>
    <t>segredo marketingdigital ifood comoganhardinheiropelainternet marketingdeafiliados liberdadefinanceira</t>
  </si>
  <si>
    <t>oportunidadesdenegocio marketingdigital comoganhardinheiro comotersucessonomarketing liberdadefinanceira</t>
  </si>
  <si>
    <t>comotersucessonavida marktingdigital comoganhardinheironainternet segredodosucesso liberdadefinanceira</t>
  </si>
  <si>
    <t>liberdadefinanceira sucesso mentemilionária estratégiamilionária independênciafinanceira fyp</t>
  </si>
  <si>
    <t>empreendedorismo negócios sucesso investimentos dinheiro riqueza liberdadefinanceira estratégia liderança motivação mindset</t>
  </si>
  <si>
    <t>liberdadefinanceira educaçãofinanceira disciplina perseverança faculdade educação investimento</t>
  </si>
  <si>
    <t>consultoriafinanceira assumaocontrole liberdadefinanceira</t>
  </si>
  <si>
    <t>investimentos dividendos liberdadefinanceira</t>
  </si>
  <si>
    <t>diversao jogosonline rendaextra liberdadefinanceira afun</t>
  </si>
  <si>
    <t>diversão rendaextra jogosonline liberdadefinanceira</t>
  </si>
  <si>
    <t>granaturbo dinheiro sucesso liberdadefinanceira</t>
  </si>
  <si>
    <t>investimentos mercadofinanceiro liberdadegeográfica liberdadefinanceira oportunidades crescimento prosperidade conhecimento educaçãofinanceira trabalhoremoto flexibilidade persistência independênciafinanceira realizaçãodesonhos apoioprofissional</t>
  </si>
  <si>
    <t>mentalidadedesucesso mentalidadepositiva mentalidademilionária liberdadefinanceira focoedisciplina focosnosobjetivos</t>
  </si>
  <si>
    <t>milionarios mentalidademilionária sucesso liberdadefinanceira focoedisciplina</t>
  </si>
  <si>
    <t>milionarios liberdadefinanceira mentalidademilionária empresarios sucesso</t>
  </si>
  <si>
    <t>mentalidademilionária focoedisciplina liberdadefinanceira pazmental milionarios</t>
  </si>
  <si>
    <t>finance liberdadefinanceira personalfinance mercadofinanceiro finances educacaofinanceira ipo refinance</t>
  </si>
  <si>
    <t>empreendedorismo negócios independênciafinanceira potencialdeganhos liberdadefinanceira realizaçãopessoal controlefinanceiro</t>
  </si>
  <si>
    <t>viral sucesso empreendedorismo liberdadefinanceira</t>
  </si>
  <si>
    <t>vida vidaquesegue vidalivre liberdade liberdadefinanceira liberdadedeexpressão liberdadeemocional</t>
  </si>
  <si>
    <t>revenda revendedoras empreendedorismofeminino empreendedora liberdadefinanceira</t>
  </si>
  <si>
    <t>controlefinanceiro orçamento finançaspessoais finanças liberdadefinanceira educaçãofinanceira</t>
  </si>
  <si>
    <t>investimentos investidores finanças finançaspessoais liberdadefinanceira controlefinanceiro orçamento</t>
  </si>
  <si>
    <t>educaçãofinanceira finanças finançaspessoais controlefinanceiro liberdadefinanceira orçamento</t>
  </si>
  <si>
    <t>orçamento finançaspessoais finanças liberdadefinanceira controlefinanceiro</t>
  </si>
  <si>
    <t>controlefinanceiro finanças finançaspessoais orçamento liberdadefinanceira controlefinanceiro</t>
  </si>
  <si>
    <t>investimentos investidores finanças finançaspessoais liberdadefinanceira</t>
  </si>
  <si>
    <t>educaçãofinanceira finançaspessoais finanças orçamento controlefinanceiro liberdadefinanceira</t>
  </si>
  <si>
    <t>finançaspessoais orçamento controlefinanceiro liberdadefinanceira finanças</t>
  </si>
  <si>
    <t>liberdadefinanceira orçamento controlefinanceiro finançaspessoais independênciafinanceira</t>
  </si>
  <si>
    <t>orçamento finanças finançaspessoais controlefinanceiro liberdadefinanceira</t>
  </si>
  <si>
    <t>controlefinanceiro finanças finançaspessoais orçamento liberdadefinanceira</t>
  </si>
  <si>
    <t>educaçãofinanceira finanças finançaspessoais liberdadefinanceira controlefinanceiro orçamento</t>
  </si>
  <si>
    <t>finançaspessoais finanças controlefinanceiro orçamento liberdadefinanceira dívidas</t>
  </si>
  <si>
    <t>liberdadefinanceira finanças finançaspessoais controlefinanceiro liberdadefinanceira</t>
  </si>
  <si>
    <t>saídadasdívidas dívidas finanças finançaspessoais liberdadefinanceira</t>
  </si>
  <si>
    <t>orçamento finanças finançaspessoais controlefinanceiro liberdadefinanceira educaçãofinanceira</t>
  </si>
  <si>
    <t>investimentos investidores finançaspessoais liberdadefinanceira orçamento controlefinanceiro</t>
  </si>
  <si>
    <t>educaçãofinanceira finançaspessoais liberdadefinanceira orçamento controlefinanceiro</t>
  </si>
  <si>
    <t>finançaspessoais controlefinanceiro liberdadefinanceira orçamento</t>
  </si>
  <si>
    <t>liberdadefinanceira controlefinanceiro finançaspessoais</t>
  </si>
  <si>
    <t>saídadasdívidas orçamento finançaspessoais liberdadefinanceira</t>
  </si>
  <si>
    <t>orçamento finançaspessoais controlefinanceiro liberdadefinanceira</t>
  </si>
  <si>
    <t>liberdadefinanceira controlefinanceiro orçamento</t>
  </si>
  <si>
    <t>saídadasdívidas dívidas finanças finançaspessoais controlefinanceiro liberdadefinanceira orçamento</t>
  </si>
  <si>
    <t>finançaspessoais liberdadefinanceira finanças orçamento planejamentofinanceiro</t>
  </si>
  <si>
    <t>liberdadefinanceira finanças finançaspessoais controlefinanceiro orçamento educaçãofinanceira</t>
  </si>
  <si>
    <t>saídadasdívidas dívidas finanças finançaspessoais controlefinanceiro liberdadefinanceira</t>
  </si>
  <si>
    <t>saídadasdívidas dívidas finançaspessoais orçamento liberdadefinanceira controlefinanceiro</t>
  </si>
  <si>
    <t>orçamento controlefinanceiro finançaspessoais liberdadefinanceira</t>
  </si>
  <si>
    <t>controlefinanceiro finançaspessoais organizaçãofinanceira liberdadefinanceira orçamento</t>
  </si>
  <si>
    <t>hustlersmotivationmz liberdadefinanceira sucesso motivation motivação</t>
  </si>
  <si>
    <t>hustlersmotivationmz sucesso motivation liberdadefinanceira</t>
  </si>
  <si>
    <t>liberdadefinanceira sucesso marketingdifgital educacaofinanceira business</t>
  </si>
  <si>
    <t>investimentos independenciafinanceira rendapassiva ibovespa foco disciplina consistencia intencionalidade dinheiro liberdadefinanceira</t>
  </si>
  <si>
    <t>liberdadefinanceira formulanegocioonline</t>
  </si>
  <si>
    <t>formulanegocioonline semcracha liberdadefinanceira</t>
  </si>
  <si>
    <t>negociodigital rendaextra liberdadefinanceira trabalheemcasa</t>
  </si>
  <si>
    <t>formulanegocioonline rendaextra trabalheemcasa liberdadefinanceira</t>
  </si>
  <si>
    <t>liberdadefinanceira rendaextra</t>
  </si>
  <si>
    <t>liberdadefinanceira rendaextra formulanegocioonline</t>
  </si>
  <si>
    <t>investidor dinheiro investimento news noticia investidores saopaulo mercadofinaceiro daytrade economia brasil liberdadefinanceira assessoria btg bolsadevalores brasil sp btg</t>
  </si>
  <si>
    <t>marketingdigital liberdadefinanceira</t>
  </si>
  <si>
    <t>liberdadefinanceira bitcoin</t>
  </si>
  <si>
    <t>portugal liberdadefinanceira bolsadevalores thedividendladder</t>
  </si>
  <si>
    <t>liberdadefinanceira rendavariavel rendapassiva educacaofinanceira investimento independênnciafinanceira economia criptomoedas motivação atualidades desenvolvimentopessoal desenvolvimentoprofissional empreendedorismo utilidadepública</t>
  </si>
  <si>
    <t>aposentadoria fire investimentos independenciafinanceira liberdadefinanceira</t>
  </si>
  <si>
    <t>liberdadefinanceira sucesso</t>
  </si>
  <si>
    <t>rendaextra mercadodigital fazacontecer liberdadegeográfica liberdadefinanceira</t>
  </si>
  <si>
    <t>marketingdigital rendaextra afiliada liberdadefinanceira liberdadegeografica vendas hotmart mulheresempoderadas sonhos</t>
  </si>
  <si>
    <t>foryou marketingdigital rendaextra afiliada liberdadefinanceira liberdadegeografica vendas mulheresempoderadas sonhos</t>
  </si>
  <si>
    <t>liberdadefinanceira empreendedorismofeminino lei</t>
  </si>
  <si>
    <t>liberdadefinanceira empreendedorismofeminino leidaatração</t>
  </si>
  <si>
    <t>liberdadefinanceira empreendedorismofeminino leidaatração tiktok</t>
  </si>
  <si>
    <t>liberdadefinanceira tiktok</t>
  </si>
  <si>
    <t>bitcoin investimentos criptomoeda finanças sucesso liberdadefinanceira</t>
  </si>
  <si>
    <t>poupar investir investimentos longoprazo finançaspessoais financaspessoais dinheiro bolsa liberdadefinanceira habitosfinanceiros sucesso mentalidade frugalidade</t>
  </si>
  <si>
    <t>banco bancoonline liberdadefinanceira tudonamão imprevistos diversão atlanticbank</t>
  </si>
  <si>
    <t>viver carreira mentoriadecarreira liberdadefinanceira crisspellegrin</t>
  </si>
  <si>
    <t>neoin dicasdeinvestimentos liberdadefinanceira</t>
  </si>
  <si>
    <t>vemserevovee liberdadefinanceira</t>
  </si>
  <si>
    <t>fy fyp fypage rendaextra dinheiroextra business viral comoganhardinheiro luxurylifestyle liberdadefinanceira motivacao reflexão reelsvideo</t>
  </si>
  <si>
    <t>sucesso empreendedorismo liberdadefinanceira marketingdigital afiliados</t>
  </si>
  <si>
    <t>twiter rendaextra dinheiroextra business marketingdigital afiliado liberdadefinanceira comoganhardinheiro motivacao</t>
  </si>
  <si>
    <t>empreendedorismo sucesso liberdadefinanceira rendaextra dinheiroonline</t>
  </si>
  <si>
    <t>sucesso empreendedorismo liberdadefinanceira marketingdigital afiliado</t>
  </si>
  <si>
    <t>dicas comoganhardinheiro dinheiro marketingdigital afiliadosiniciantes empreendedorismo liberdadefinanceira rendaextra rendaextra</t>
  </si>
  <si>
    <t>ganhedinheiroextra trabalheondequiser trabalheemcasa marketingdeafiliados dinheiroonline dinheironainternet rendaextra oportunidade liberdadefinanceira sucesso</t>
  </si>
  <si>
    <t>americanas criselojaamericanas economiabrasil rentabilidadecomseguranca bimanager criptomoeda liberdadefinanceira mundocripto locacaodeativosdigitais</t>
  </si>
  <si>
    <t>vidafinanceira promocao compras desconto rentabilidadecomseguranca sejabimanager crypto liberdadefinanceira sobredinheiro</t>
  </si>
  <si>
    <t>indicedemedo riscocripto rentabilidadecomseguranca bimanager crypto moedadigital criptoeconomia liberdadefinanceira mundocripto locacaodeativosdigitais</t>
  </si>
  <si>
    <t>eliminacao realitycripto bimanager criptomoeda bitcoin criptoeconomia liberdadefinanceira mundocripto locacaodeativosdigitais</t>
  </si>
  <si>
    <t>liberdadefinanceira proteja família sistema matrix investimento analise criptomoeda altcoins sucesso liberdade vida riquesa btc eth conquista</t>
  </si>
  <si>
    <t>mercadodeopções derivativos investimentos educaçãofinanceira finanças prosperidade prosperidadefinanceira liberdadefinanceira macroeconomia bolsadechicago mercadoamericano</t>
  </si>
  <si>
    <t>mercadofuturo mercadodeopções derivativos investimentos educaçãofinanceira finanças prosperidade prosperidadefinanceira liberdadefinanceira macroeconomia</t>
  </si>
  <si>
    <t>mercadofuturo mercadodeopções derivativos investimentos educaçãofinanceira finanças prosperidade prosperidadefinanceira liberdadefinanceira macroeconomia bolsadechicago mercadoamericano</t>
  </si>
  <si>
    <t>mercadofinanceiro mercadofuturo mercadodeopções derivativos investimentos educaçãofinanceira finanças prosperidade prosperidadefinanceira liberdadefinanceira macroeconomia bolsadechicago mercadoamericano</t>
  </si>
  <si>
    <t>educaçãofinanceira finanças prosperidade prosperidadefinanceira liberdadefinanceira macroeconomia reformatributaria</t>
  </si>
  <si>
    <t>mercadofinanceiro mercadofuturo mercadodeopções derivativos investimentos educaçãofinanceira finanças prosperidade prosperidadefinanceira liberdadefinanceira macroeconomia</t>
  </si>
  <si>
    <t>investimentos educaçãofinanceira finanças prosperidade prosperidadefinanceira liberdadefinanceira macroeconomia bolsadechicago mercadoamericano</t>
  </si>
  <si>
    <t>mercadodeopções derivativos investimentos educaçãofinanceira finanças prosperidade prosperidadefinanceira liberdadefinanceira macroeconomia</t>
  </si>
  <si>
    <t>investimentos educaçãofinanceira finanças prosperidade prosperidadefinanceira liberdadefinanceira macroeconomia</t>
  </si>
  <si>
    <t>investimentos educaçãofinanceira finanças prosperidade prosperidadefinanceira liberdadefinanceira macroeconomia bolsadechicago mercadoamericano agrobrasil agronegocio</t>
  </si>
  <si>
    <t>liberdadefinanceira medo empreendedorismo</t>
  </si>
  <si>
    <t>aumentescore 7dias liberdadefinanceira oportunidades estrategiacomprovada pontuacao emprestimos financiamentos cartoesdecredito melhorescondicoes futurofinanceiro acelereseuscore umasemana conquistesuavida</t>
  </si>
  <si>
    <t>robertkiyosaki liberdadefinanceira quadrantedodinheiro</t>
  </si>
  <si>
    <t>finanças liberdadefinanceira</t>
  </si>
  <si>
    <t>liberdadefinançeira investir brinainvest</t>
  </si>
  <si>
    <t>fii fundosdeinvestimento dividendos aposentadoria liberdadefinanceira dinheiro</t>
  </si>
  <si>
    <t>liberdadefinanceira vidafinanceira dinheiro felicidade gratidão</t>
  </si>
  <si>
    <t>tiktok frasesdodia frasesmotivacionais frasesreflexivas motivacao mentalidademilionaria futurosmilionarios jovensdesucesso sucessonavida acrediteemvoce mentalidadeempreendedora liberdadefinanceira</t>
  </si>
  <si>
    <t>objetivos financaspessoais planejamentofinanceiro liberdadefinanceira dicasfinanceiras</t>
  </si>
  <si>
    <t>viral lifestyle dinheiro liberdade sucesso prosperity liberdadefinanceira</t>
  </si>
  <si>
    <t>wagnergeremia ondeinvestir educaçãofinanceira debentures bolsadevalores tesourodireto patrimonio liberdadefinanceira copom selic bacen inflation inflacao juros dinheiro</t>
  </si>
  <si>
    <t>liberdadefinanceira investimentos longoprazo buyandhold rendavariavel investindocomestrategia pequenosocio</t>
  </si>
  <si>
    <t>criptomoedas economiasaudável liberdadefinanceira economia moralidade distribuiçãoderecursos doações sobrevivência satisfaçãoindividual</t>
  </si>
  <si>
    <t>fmc escritoriofmc liberdadefinanceira finanças educaçãofinanceira escolhas</t>
  </si>
  <si>
    <t>fmc escritoriofmc francel educaçãofinanceira liberdadefinanceira sonhos</t>
  </si>
  <si>
    <t>lifetrader mercadofinanceiro bolsadevalores investimentos liberdadefinanceira</t>
  </si>
  <si>
    <t>economia liberdadefinanceira</t>
  </si>
  <si>
    <t>rendaextra marketingdigital liberdadefinanceira sucesso empreendedorismo</t>
  </si>
  <si>
    <t>investir criptomoeda bitcoin liberdadefinanceira</t>
  </si>
  <si>
    <t>marketingdigital empreendedorismofeminino rendaextra afiliada empresas liberdadefinanceira money</t>
  </si>
  <si>
    <t>ondecomprar financialplanning liberdadefinanceira</t>
  </si>
  <si>
    <t>diversificaçãoemação investimentos lucros ganhedinheiroonline liberdadefinanceira fériasparasempre</t>
  </si>
  <si>
    <t>milionaire luxurylifestyle business mindset liberdadefinanceira</t>
  </si>
  <si>
    <t>reels motivacao podcast empreendedorismo marketingdigital plr infoprodutos motivação liberdadefinanceira dinheiro sucesso sucessoprofissional sucessofinanceiro mercadodigital</t>
  </si>
  <si>
    <t>zcash liberdadefinanceira</t>
  </si>
  <si>
    <t>diainternacionaldamulher mulherdevalor feminismo feminista prosperidade investimento felicidade sonhos hotmart desenvolvimentopessoal liberdadefinanceira oportunidade gratidao paz frases bomdia s</t>
  </si>
  <si>
    <t>liberdadefinanceira dinheiro sucesso</t>
  </si>
  <si>
    <t>independênciafinanceira investimentos disciplinafinanceira liberdadefinanceira vidadossonhos rotadosmilhões</t>
  </si>
  <si>
    <t>minhacarteiranumerohotmart mcn1 cursorendavariável mcn1valor liberdadefinanceira mcn1mira</t>
  </si>
  <si>
    <t>cursorendavariável liberdadefinanceira</t>
  </si>
  <si>
    <t>mcn1valor mcn1 minhacarteiranumerohotmart cursorendavariável mcn1mira liberdadefinanceira</t>
  </si>
  <si>
    <t>manger socialmedia finance liberdadefinanceira personalfinance mercadofinanceiro finances educacaofinanceira independenciafinanceira refinance sucessofinanceiro financeiro financetips canadasbestemployers italy unitedstates</t>
  </si>
  <si>
    <t>dividendos rendapassiva proventos fii agf barsi buyandhold liberdadefinanceira mxrf11</t>
  </si>
  <si>
    <t>educacaofinanceira dinheiro financas investimentos foco financaspessoais sucesso planejamento liberdadefinanceira empreender finanças inteligenciafinanceira money desenvolvimentopessoal finançaspessoais</t>
  </si>
  <si>
    <t>educacaofinanceira dinheiro financas foco financaspessoais sucesso planejamento liberdadefinanceira finanças inteligenciafinanceira finançaspessoais</t>
  </si>
  <si>
    <t>educacaofinanceira dinheiro finanças financaspessoais sucessofinanceiro inteligênciafinanceira liberdadefinanceira sucesso planejamento</t>
  </si>
  <si>
    <t>anarcocapitalismo liberdadefinanceira</t>
  </si>
  <si>
    <t>ancapgpt liberdadefinanceira criptomoedas</t>
  </si>
  <si>
    <t>ancapgpt liberdadefinanceira</t>
  </si>
  <si>
    <t>ironia ancapgpt liberdadefinanceira</t>
  </si>
  <si>
    <t>liberdadefinanceira anarcocapitalismo</t>
  </si>
  <si>
    <t>anarcocapitalismo liberdadefinanceira comprebitcoin compremonero</t>
  </si>
  <si>
    <t>ancapgpt liberdadefinanceira bitcoin monero</t>
  </si>
  <si>
    <t>ancapgpt liberdadefinanceira anarcocapitalismo</t>
  </si>
  <si>
    <t>ancapgpt bitcoin monero liberdadefinanceira</t>
  </si>
  <si>
    <t>economedicos finanças financas financaspessoais liberdadefinanceira economia</t>
  </si>
  <si>
    <t>economedicos finanças financas financaspessoais liberdadefinanceira</t>
  </si>
  <si>
    <t>financas economedicos finanças financaspessoais liberdadefinanceira economia</t>
  </si>
  <si>
    <t>economedicos finanças financas financaspessoais liberdadefinanceira economia ibovespa</t>
  </si>
  <si>
    <t>empreendedorismo marketingdigital sucesso motivation motivação renda rendaonline liberdadefinanceira prosperidade investimento investimentos mulher maternidade</t>
  </si>
  <si>
    <t>liberdadefinanceira mulheres mulher inspiração motivação maternidade sucesso renda</t>
  </si>
  <si>
    <t>finance liberdadefinanceira personalfinance mercadofinanceiro finances educacaofinanceira independenciafinanceira planejamentofinanceiro refinance sucessofinanceiro financeiro financetips inteligenciafinanceira</t>
  </si>
  <si>
    <t>endividamento planejamentofinanceiro investimentoobjetivo dividasnuncamais insonia liberdadefinanceira fiquelivredasdividas vidafinanceirasaudavel</t>
  </si>
  <si>
    <t>finançaspessoais educaçãofinanceira planejamentofinanceiro liberdadefinanceira</t>
  </si>
  <si>
    <t>investimentos liberdadefinanceira rendapassiva dinheirotrabalhandoparavocê investimentoobjetivo</t>
  </si>
  <si>
    <t>liberdadefinanceira educacaofinanceira investimentos dinheiro mudancadevida</t>
  </si>
  <si>
    <t>liberdadefinanceira investimentos dinheirointeligente planejamentofinanceiro investimentosconscientes investimentosinteligentes</t>
  </si>
  <si>
    <t>investimentos investimentoobjetivo liberdadefinanceira aposentadoria diversificação rendapassiva</t>
  </si>
  <si>
    <t>endividamento investimentoobjetivo liberdadefinanceira aposentadoria planejamentofinanceiro educaçãofinanceira</t>
  </si>
  <si>
    <t>investimentos investimentoobjetivo diversificação liberdadefinanceira aposentadoria segurançafinanceira</t>
  </si>
  <si>
    <t>metasfinanceiras liberdadefinanceira finançaspessoais mentoriailf</t>
  </si>
  <si>
    <t>investimento liberdadefinanceira inteligenciaartificial</t>
  </si>
  <si>
    <t>medodeinvestir investimentoobjetivo liberdadefinanceira aposentadoria educaçãofinanceira investimentos</t>
  </si>
  <si>
    <t>investimentos investimentoobjetivo mentoriafinanceira liberdadefinanceira aposentadoria educaçãofinanceira</t>
  </si>
  <si>
    <t>especialistasdeinvestimentos investimentoobjetivo liberdadefinanceira aposentadoria gestãofinanceira investimentos</t>
  </si>
  <si>
    <t>finanças investimentoobjetivo investimentos liberdadefinanceira planejamentofinanceiro endividamento</t>
  </si>
  <si>
    <t>liberdadefinanceira finançaspessoais investimentos planejamentofinanceiro investimentoobjetivo</t>
  </si>
  <si>
    <t>liberdadefinanceira educacaofinanceira orçamentopessoal planejamentofinanceiro</t>
  </si>
  <si>
    <t>investimento bybot criptomonedas liberdadefinanceira</t>
  </si>
  <si>
    <t>fintwit ibov bova11 viverderenda liberdadefinanceira</t>
  </si>
  <si>
    <t>neg lideran mktdigital digital follow trabalho art m mulheresempreendedoras instagood as liberdadefinanceira empresa moda empreendertransforma contabilidade f cios investimentos photography es coaching marketingdigitalbrasil oportunidade empreendedora</t>
  </si>
  <si>
    <t>ondecomprar marketingjobs rendaextra liberdadefinanceira</t>
  </si>
  <si>
    <t>btc cripto liberdadefinanceira</t>
  </si>
  <si>
    <t>btc eth liberdadefinanceira hodl</t>
  </si>
  <si>
    <t>btc liberdadefinanceira</t>
  </si>
  <si>
    <t>liberdadefinanceira independenciafinanceira sucesso</t>
  </si>
  <si>
    <t>educacaofinanceira liberdadefinanceira mentepositiva mentalidadederiqueza</t>
  </si>
  <si>
    <t>euquero liberdadefinanceira</t>
  </si>
  <si>
    <t>chatgpt liberdadefinanceira</t>
  </si>
  <si>
    <t>mindset money bitcoin billionaire lifestyle jovemmilionario sucess liberdadefinanceira</t>
  </si>
  <si>
    <t>liberdadefinanceira ganharseguidores dinheiroonline trabalharemcasa investimento ganhardinheiroonline vendas investimentos cil ganhardinheiroemcasa comoganhardinheiro</t>
  </si>
  <si>
    <t>meme bolsadevalores humor satira bancos investidor economia foco liberdadefinanceira</t>
  </si>
  <si>
    <t>liberdadefinanceira liberdadefinanceira oportunidade rendaextranainternet rendaextraideias</t>
  </si>
  <si>
    <t>rendaextraemcasa rendaextraonline rendaextra dinheiroextra liberdadefinanceira liberdadefinanceira</t>
  </si>
  <si>
    <t>rendaextra dinheiroextra dinheiroonline rendaextraemcasa liberdadefinanceira</t>
  </si>
  <si>
    <t>empreendedorismo foco objetivos liberdadefinanceira negocios vendas</t>
  </si>
  <si>
    <t>liberdadefinanceira marketindigital cdricos dinheiro dinheiroextra empreendedorismo</t>
  </si>
  <si>
    <t>formação finanças motivacao sucesso educaçãofinanceira liderança desenvolvimentopessoal marketingdigital mentesmilionárias investimentos liberdadefinanceira</t>
  </si>
  <si>
    <t>casapropria investimentoseguro liberdadefinanceira</t>
  </si>
  <si>
    <t>financialiteracy financialfreedom liberdade liberdadefinanceira</t>
  </si>
  <si>
    <t>liberdade liberdadeintelectual liberdadefinanceira descentralização</t>
  </si>
  <si>
    <t>literaciafinanceira liberdadefinanceira investimento podcasting podcast</t>
  </si>
  <si>
    <t>meld liberdadefinanceira assumaocontrole</t>
  </si>
  <si>
    <t>empreendedorismo liberdadefinanceira liberdadegeografica propósito estratégias</t>
  </si>
  <si>
    <t>investidoriniciante mentemilionaria liberdadefinanceira prérico skininthegame</t>
  </si>
  <si>
    <t>investidoriniciante mentemilionaria liberdadefinanceira prérico meta economia finançaspessoais</t>
  </si>
  <si>
    <t>liberdadedeescolha liberdadefinanceira liberdadefinanceira prosperidadefinanceira dicasfinanceiras vidafinanceira investidoriniciante</t>
  </si>
  <si>
    <t>investidoriniciante mentemilionaria liberdadefinanceira prérico minutodariqueza viverderenda skininthegame empreender midset cartaodecredito finançaspessoais</t>
  </si>
  <si>
    <t>investidoriniciante mentemilionaria liberdadefinanceira prérico minutodariqueza viverderenda skininthegame</t>
  </si>
  <si>
    <t>dinheiro investir investimento futuro liberdadefinanceira</t>
  </si>
  <si>
    <t>jantar dividendos dinheiro liberdadefinanceira</t>
  </si>
  <si>
    <t>dinheiro liberdadefinanceira aprenderainvestir bolsadevalores segurança riqueza</t>
  </si>
  <si>
    <t>dracma token criptomoeda liberdadefinanceira</t>
  </si>
  <si>
    <t>dracma cripitomoeda token liberdadefinanceira lançamento</t>
  </si>
  <si>
    <t>dracma cripitomoeda token liberdadefinanceira</t>
  </si>
  <si>
    <t>dracma token liberdadefinanceira criptomoeda lançamento</t>
  </si>
  <si>
    <t>dracmatoken token criptomoeda liberdadefinanceira</t>
  </si>
  <si>
    <t>bitcoin criptoedas liberdadefinanceira</t>
  </si>
  <si>
    <t>brasil iptv news apple btc criptomoedas blockchain investimentos aprenda mudesuavida economia finanças educaçaofinanceira investidor iniciante sucesso rico bitcoin token web3 metaverso cripto liberdadefinanceira brasil criptoativos defi web3 crypto nf</t>
  </si>
  <si>
    <t>dinheiro dinheiroextra dinheiroonline dinheiroemcasa rendaextra liberdadefinanceira cash mepoupe marketingdigital negocios empreendedorismo</t>
  </si>
  <si>
    <t>vectplus logo logodesinger logoinspire logos logoroom logoconcept logobrand logoprocess professionallogo finance liberdadefinanceira finances personalfinance</t>
  </si>
  <si>
    <t>educaçãofinanceira liberdadefinanceira gestãodedinheiro planejamentofinanceiro finançaspessoais independenciafinanceira</t>
  </si>
  <si>
    <t>mercadofinaceiro marketingdigital liberdadefinanceira adolescentes noticias</t>
  </si>
  <si>
    <t>fiis fundoimobiliário investimento liberdadefinanceira</t>
  </si>
  <si>
    <t>investidor daytrader swingtrader ações viverderenda rendavariavel liberdadefinanceira comoinvestir mercadofinanceiro dinheiroemcasa ibovespa bolsadevalores rendaextra dinheiro</t>
  </si>
  <si>
    <t>bitcoin liberdadefinanceira criptomoedas</t>
  </si>
  <si>
    <t>finance liberdadefinanceira financeiro financegoals financebroker financeeducation realestate realestateagent realestateinvestors realestateteam realliferealestate realtestate finance liberdadefinanceira</t>
  </si>
  <si>
    <t>kucoinlearn rendapassiva stablecoins liberdadefinanceira pyusd</t>
  </si>
  <si>
    <t>cursodebaloes barreiras liberdadefinanceira artecombaloes oportunidade noticias</t>
  </si>
  <si>
    <t>mudançadevida crescimento prosperidade vivermelhor investimentos bitcoin liberdadefinanceira weweglobal multinivel lifestyle julionafe ad55 ad55online adcachoeirinha advales ceu</t>
  </si>
  <si>
    <t>tbt mudançadevida crescimento prosperidade vivermelhor investimentos bitcoin liberdadefinanceira weweglobal multinivel lifestyle julionafe ad55 ad55online</t>
  </si>
  <si>
    <t>ad55 compartilhar mudançadevida crescimento prosperidade vivermelhor investimentos bitcoin liberdadefinanceira weweglobal multinivel lifestyle julionafe</t>
  </si>
  <si>
    <t>mudançadevida crescimento prosperidade vivermelhor investimentos bitcoin liberdadefinanceira weweglobal multinivel</t>
  </si>
  <si>
    <t>julionafe mudançadevida prosperidade investimento bitcoinbr liberdadefinanceira weweglob lifestyle julionafe ad55 ad55online ceu igreja jesus cristo deus</t>
  </si>
  <si>
    <t>mudançadevida crescimento prosperidade vivermelhor investimento bitcoin liberdadefinanceira weweglobal multinivel lifestyle julionafe</t>
  </si>
  <si>
    <t>mudançadevida prosperidade investimento bitcoinbr liberdadefinanceira weweglob lifestyle julionafe ad55</t>
  </si>
  <si>
    <t>mudançadevida prosperidade investimento bitcoinbr liberdadefinanceira weweglob lifestyle julionafe ad55 ad55online ceu igreja jesus cristo deus</t>
  </si>
  <si>
    <t>liberdadefinanceira fire</t>
  </si>
  <si>
    <t>rendapassiva investimentos liberdadefinanceira</t>
  </si>
  <si>
    <t>descomplica finançasparatodos aprender dinheiro mercado youtube investimentos perfilparainvestir liberdadefinanceira</t>
  </si>
  <si>
    <t>capitalismo investimento investimentos liberdadefinanceira independenciafinanceira educacaofinanceira</t>
  </si>
  <si>
    <t>donaldtrump robertkiyosaki finanças investimentos liberdadefinanceira independenciafinanceira</t>
  </si>
  <si>
    <t>investimento investimentos ações dividendos liberdadefinanceira independenciafinanceira</t>
  </si>
  <si>
    <t>barsi luizbarsi finanças dividendos liberdadefinanceira dividendos</t>
  </si>
  <si>
    <t>flavioaugusto liberdadefinanceira motivacional</t>
  </si>
  <si>
    <t>liberdadefinanceira mindset motivacional</t>
  </si>
  <si>
    <t>nathaliaarcuri enriquecer motivacao liberdadefinanceira</t>
  </si>
  <si>
    <t>flavioaugusto liberdadefinanceira sucesso motivacao motivacional</t>
  </si>
  <si>
    <t>organizaçãofinanceira liberdadefinanceira riqueza</t>
  </si>
  <si>
    <t>trabalhoemcasa dinheiroonline dinheiro rendaextra renda sucesso mindset liberdadefinanceira empreendedorismo</t>
  </si>
  <si>
    <t>doterra empreendedorismo liberdadefinanceira futurobrilhante sucesso</t>
  </si>
  <si>
    <t>doterra oportunidadedenegócio empreendedorismo liberdadefinanceira realizaçãopessoal</t>
  </si>
  <si>
    <t>fiis dividendos liberdadefinanceira</t>
  </si>
  <si>
    <t>dividendos clearcorretora bomdia buenosdias goodmorning sigame followme gratidao liberdadefinanceira</t>
  </si>
  <si>
    <t>bomdia buenosdiasatodos buenosdiasmundo goodmorningtwitterworld goodmorning dividendos clearcorretora liberdadefinanceira fiis gratidão</t>
  </si>
  <si>
    <t>dividendos liberdadefinanceira fiis</t>
  </si>
  <si>
    <t>bomdia buenosdias goodmorning dividendos investimentos liberdadefinanceira gratidão</t>
  </si>
  <si>
    <t>dividendos investimentos liberdadefinanceira fundosimobiliarios fiis gratidao</t>
  </si>
  <si>
    <t>siac erp gestão sistema empreendedorismo empreendedordesucesso oportunidade liberdadefinanceira software</t>
  </si>
  <si>
    <t>pt ptnao governo estado politica liberdade economia liberdadefinanceira brasil conservadorismo</t>
  </si>
  <si>
    <t>keepgrowingmentoria desenvolvimentopessoal reflexão dinheiro liberdadefinanceira sonhos planos viagens conquistas</t>
  </si>
  <si>
    <t>keepgrowingmentoria desenvolvimentopessoal dinheiro liberdadefinanceira investimentos inteligênciafinanceira inflação tesourodireto ipca selic futuromelhor investimento</t>
  </si>
  <si>
    <t>keepgrowingmentoria makeyourfuture desenvolvimentopessoal realização liberdadefinanceira educaçãofinanceira mentoria inteligenciafinanceira dinheiro investir investimentos ações investidoresiniciantes</t>
  </si>
  <si>
    <t>keepgrowingmentoria realização liberdadefinanceira educaçãofinanceira mentoria inteligenciafinanceira dinheiro investir investimentos ações</t>
  </si>
  <si>
    <t>keepgrowing keepgrowingmentoria makeyourfuture educaçãofinanceira educaçãofinanceiraparacrianças dinheiro liberdadefinanceira napoleonhill novasideias mudanças triunfo evolução conquistas</t>
  </si>
  <si>
    <t>keepgrowing keepgrowingmentoria makeyourfuture desenvolvimentopessoal disciplina iteligenciafinanceira gastos controlandogastos educaçãofinanceira dinheiro economia economize invista investimentos liberdadefinanceira</t>
  </si>
  <si>
    <t>keepgrowing keepgrowingmentoria makeyourfuture desenvolvimentopessoal liberdadefinanceira liberdade inteligenciafinanceira educaçãofinanceira desenvolvimentofinanceiro organizaçãofinanceira</t>
  </si>
  <si>
    <t>keepgrowing desafio riqueza dinheiro liberdadefinanceira</t>
  </si>
  <si>
    <t>keepgrowingmentoria makeyourfuture dinheiro liberdadefinanceira</t>
  </si>
  <si>
    <t>keepgrowingmentoria desenvolvimentopessoal liberdadefinanceira educaçãofinanceira dinheiro menor mentoria objetivos metas</t>
  </si>
  <si>
    <t>keepgrowing podcast finanças liberdadefinanceira dinheiro educaçãofinanceira</t>
  </si>
  <si>
    <t>keepgrowingmentoria dinheiro liberdadefinanceira investimentos inteligênciafinanceira segurançafinanceira orçamentofamiliar futuromelhor</t>
  </si>
  <si>
    <t>keepgrowing keepgrowingmentoria makeyourfuture desenvolvimentopessoal liberdadefinanceira evolução mentalida desenvolvimento riqueza mentalidadederiqueza dinheiro investir investimentos rendapassiva rendaativa</t>
  </si>
  <si>
    <t>keepgrowingmentoria realização liberdadefinanceira aposentadoria inteligenciafinanceira dinheiro investir investimentos ações inss dinheiro velhice educaçãofinanceira inteligenciafinanceira</t>
  </si>
  <si>
    <t>keepgrowingmentoria liberdadefinanceira mentalidadederiqueza conhecimento desenvolvimentopessoal dinheiro</t>
  </si>
  <si>
    <t>keepgrowing keepgrowingmentoria makeyourfuture desenvolvimentopessoal conquistas sonhos realização rico riqueza serrico liberdadefinanceira dinheiro liberdadegeografica saúde relacionamento</t>
  </si>
  <si>
    <t>keepgrowingmentoria desenvolvimentopessoal riqueza investimentos liberdadefinanceira</t>
  </si>
  <si>
    <t>keepgrowingmentoria makeyourfuture desenvolvimentopessoal poupança dinheiro inteligenciafinanceira liberdadefinanceira</t>
  </si>
  <si>
    <t>lisboa portugal evento liberdadefinanceira rendaextra dinheiro</t>
  </si>
  <si>
    <t>portugal elsalvador bitcoin liberdadefinanceira liberdade economia finanças</t>
  </si>
  <si>
    <t>dinheiro dinheirorenda dinheiroemcasa sucesso sucessoprofissional liberdadefinanceira liberdade empreendedorismo me chamar director</t>
  </si>
  <si>
    <t>revendedores spirulina produtosnaturais liberdadefinanceira</t>
  </si>
  <si>
    <t>bitcoin descentralização liberdadefinanceira bitcoinéliberdade antifragilidade criptomoedas liberdade</t>
  </si>
  <si>
    <t>conciergebitcoin bitcoin institutomises educaçãofinanceira criptomoedas liberdadefinanceira misesbrasil imb mises rothbard hayek</t>
  </si>
  <si>
    <t>libertadfinanciera financialfreedom liberdadefinanceira libertàfinanziaria libertéfinancière</t>
  </si>
  <si>
    <t>liberdade liberdadefinanceira</t>
  </si>
  <si>
    <t>evoyconsorcios evoy chegajunto investimento cartadecredito representanteevoy planejamento liberdadefinanceira</t>
  </si>
  <si>
    <t>evoy evoyconsorcios consorcios carro automovel investimento chegajunto planejamento investir clientes compra realização liberdadefinanceira planejamentofinanceiro</t>
  </si>
  <si>
    <t>liberdadefinanceira educaçãofinanceira</t>
  </si>
  <si>
    <t>prosperidade tempo liberdadefinanceira deus espiritualidade</t>
  </si>
  <si>
    <t>finanças planejamentofinanceiro sucesso metasfinanceiras liberdadefinanceira planejamentofinanceiro finançaspessoais orçamento controlefinanceiro</t>
  </si>
  <si>
    <t>liberdadefinanceira educacaofinanceira educaçãofinanceira consultoriafinanceira financeira</t>
  </si>
  <si>
    <t>finance libertadfinanciera liberdadefinanceira finances personalfinance financetips mercadofinanceiro educacionfinanciera educacaofinanceira planejamentofinanceiro independenciafinanceira educaçãofinanceira</t>
  </si>
  <si>
    <t>educacaofinanceira comoinvestir mercadofinanceiro investimentos liberdadefinanceira eua realestate investimentoimobiliario sp500 vnq dividends nyse nyse sp500 nasdaq eqix equinix datacenter imoveis comercio lajes</t>
  </si>
  <si>
    <t>investimentosbrasileexterior investimentobrasil investimentoexterior reit reits ações dividendos longoprazo liberdadefinanceira planejamentofinanceiro viverderenda</t>
  </si>
  <si>
    <t>investimentosbrasileexterior investimentobrasil investimentoexterior reit reits ações dividendos longoprazo liberdadefinanceira</t>
  </si>
  <si>
    <t>liberdadefinanceira juros conhecimento estudo aprender frases pensadores ideias pensamentododia instathoughts frasedodia investimento provérbios enriquecer sabedoria</t>
  </si>
  <si>
    <t>investimentosbrasileexterior investimentobrasil investimentoexterior reit reits ações dividendos longoprazo liberdadefinanceira planejamentofinanceiro viverderenda educacaofinanceira</t>
  </si>
  <si>
    <t>planejamentofinanceiro viverderenda educacaofinanceira comoinvestir mercadofinanceiro investimentos liberdadefinanceira bcff bcff11 maxirenda btg rendimentos</t>
  </si>
  <si>
    <t>investimentosbrasileexterior investimentobrasil investimentoexterior reit reits ações dividendos longoprazo liberdadefinanceira planejamentofinanceiro</t>
  </si>
  <si>
    <t>investimentosbrasileexterior investimentobrasil investimentoexterior rendavariável bolsadevalores longoprazo comoinvestir liberdadefinanceira ações dividendos lucroconstante lucrosconstantes</t>
  </si>
  <si>
    <t>investimentosbrasileexterior investimentobrasil investimentoexterior reits ações longoprazo liberdadefinanceira planejamentofinanceiro</t>
  </si>
  <si>
    <t>liberdadefinanceira ipca cdi igpm habt11 habt vortx cri papel</t>
  </si>
  <si>
    <t>liberdadefinanceira eua realestate investimentoimobiliario sp500 vnq dividends nyse nyse sp500 maa midamericaapartmentcommunities imovelresidencial apartamento multifamiliar</t>
  </si>
  <si>
    <t>viverderenda educacaofinanceira comoinvestir mercadofinanceiro investimentos liberdadefinanceira ipca cdi igpm hgru hgru11 cshg creditsuisse rendimentos hibrido rendaurbana varejo</t>
  </si>
  <si>
    <t>planejamentofinanceiro viverderenda educacaofinanceira comoinvestir mercadofinanceiro investimentos liberdadefinanceira irdm11 irdm cri papel iridium btg btgpactual</t>
  </si>
  <si>
    <t>investimentosbrasileexterior investimentobrasil investimentoexterior longoprazo comoinvestir liberdadefinanceira juros conhecimento</t>
  </si>
  <si>
    <t>liberdadefinanceira rendaextra possibilidades</t>
  </si>
  <si>
    <t>liberdadefinanceira rendaextra vidapróspera</t>
  </si>
  <si>
    <t>dinheirotrabalhando rendaextra liberdadefinanceira</t>
  </si>
  <si>
    <t>liberdadefinanceira rendaextra invistaemvocê</t>
  </si>
  <si>
    <t>sexta13 sextou liberdadefinanceira economia investimentos negócios empreender</t>
  </si>
  <si>
    <t>inflação inflaçãoglobal liberdadefinanceira economia investimentos negócios empreendedor</t>
  </si>
  <si>
    <t>liberdadefinanceira rendavariavel rendapassiva educacaofinanceira investimento independênnciafinanceira economia criptomoedas motivação atualidades desenvolvimentopessoal</t>
  </si>
  <si>
    <t>desenvolvimentopessoal investimentos liberdadefinanceira relacionamentos</t>
  </si>
  <si>
    <t>liberdadefinanceira fypシ plr money sucesso rendaextraonline afiliados marketingdigital milionário empreendedorismo primeiravenda empreendedor marketing dropshipping kiwify legado</t>
  </si>
  <si>
    <t>liberdadefinanceira fypシ plr money sucesso rendaextraonline afiliados marketingdigital milionário empreendedorismo livreparaser primeiravenda empreendedor marketing dropshipping kiwify legado</t>
  </si>
  <si>
    <t>marketingdigital dinheiro dinheiroextra liberdadefinanceira</t>
  </si>
  <si>
    <t>empreendedorismo photooftheday vibes motivacao frasesinspiradoras dinheiro sucesso liberdadefinanceira</t>
  </si>
  <si>
    <t>finanças dinheiro investimentos economia riqueza negócios investir liberdadefinanceira educaçãofinanceira sucesso planejamentofinanceiro</t>
  </si>
  <si>
    <t>empreendedorismo negóciosonline liberdadefinanceira</t>
  </si>
  <si>
    <t>plr vendasonline liberdadefinanceira hotmart afiliado</t>
  </si>
  <si>
    <t>limpanome eleveoscore liberdadefinanceira positivobrasil</t>
  </si>
  <si>
    <t>investimentos investimento bolsadevalores bovespa rendavariavel ações mercadofinanceiro liberdadefinanceira finanças planejamentofinanceiro trader stocks dinheiro henleinvestimentos economia dividendos ibovespa agro agronegocio soja milho keplerweber</t>
  </si>
  <si>
    <t>ferini motivacional desenvolvimentopessoal marketingdigital marketing empreendedorismo mindset liberdadefinanceira dinheiro riqueza prosperidade foryou fy fypシ゚viral fypシ f4f</t>
  </si>
  <si>
    <t>ferini motivacional desenvolvimentopessoal marketingdigital marketing empreendedorismo mindset liberdadefinanceira dinheiro riqueza prosperidade</t>
  </si>
  <si>
    <t>ferini motivacional desenvolvimentopessoal marketingdigital marketing empreendedorismo mindset liberdadefinanceira</t>
  </si>
  <si>
    <t>repost fy competição escolhas pessoas talentos conquista autoconhecimento liberdadefinanceira foconoobjetivo waizer mindset marketingdigital dinheiroextra</t>
  </si>
  <si>
    <t>http://Linktr.ee/weweglob http://linktr.ee/weweglob</t>
  </si>
  <si>
    <t>https://www.youtube.com/watch?v=FWFrwnR7BgA&amp;list=PLBeaxGVsgNiO0-tICLp1lrxB2h03hD2v2&amp;index=3&amp;t=553s https://wapsicanalisando.com/</t>
  </si>
  <si>
    <t>https://youtu.be/YfF3OikJhwg https://ziontradeplatform.com/estrate</t>
  </si>
  <si>
    <t>https://pay.hotmart.com/F80805473B?bid=1684259700351 https://www.instagram.com/reel/Ctc2_xdtC-b/?igshid=MTVlNTYxMjY2ZQ==</t>
  </si>
  <si>
    <t>https://espiritualhope.com https://linktr.ee/essencialhope</t>
  </si>
  <si>
    <t>https://linktr.ee/essencialhope https://espiritualhope.com</t>
  </si>
  <si>
    <t>https://youtu.be/RWyB5m60-MQ https://www.canva.com/design/DAFjxE1AGRQ/aSnce_aV3r_afjXvhQde-g/view?website#2</t>
  </si>
  <si>
    <t>omeulink.com</t>
  </si>
  <si>
    <t>edzz.la</t>
  </si>
  <si>
    <t>com.br</t>
  </si>
  <si>
    <t>instagram.com</t>
  </si>
  <si>
    <t>eln.one</t>
  </si>
  <si>
    <t>bit.ly</t>
  </si>
  <si>
    <t>tinyurl.com</t>
  </si>
  <si>
    <t>t.me</t>
  </si>
  <si>
    <t>hotm.art</t>
  </si>
  <si>
    <t>instagr.am</t>
  </si>
  <si>
    <t>linktr.ee linktr.ee</t>
  </si>
  <si>
    <t>hotmart.com</t>
  </si>
  <si>
    <t>eduzz.com</t>
  </si>
  <si>
    <t>youtube.com</t>
  </si>
  <si>
    <t>jerryfetta.com</t>
  </si>
  <si>
    <t>medium.com</t>
  </si>
  <si>
    <t>odysee.com</t>
  </si>
  <si>
    <t>techash.xyz</t>
  </si>
  <si>
    <t>kiwify.app</t>
  </si>
  <si>
    <t>institutosicoob.org</t>
  </si>
  <si>
    <t>trabalhecomigo.net</t>
  </si>
  <si>
    <t>whatsapp.com</t>
  </si>
  <si>
    <t>youtube.com wapsicanalisando.com</t>
  </si>
  <si>
    <t>youtu.be ziontradeplatform.com</t>
  </si>
  <si>
    <t>abre.ai</t>
  </si>
  <si>
    <t>pugnaculum.com</t>
  </si>
  <si>
    <t>youtu.be</t>
  </si>
  <si>
    <t>buff.ly</t>
  </si>
  <si>
    <t>wikifx.com</t>
  </si>
  <si>
    <t>hotmart.com instagram.com</t>
  </si>
  <si>
    <t>ow.ly</t>
  </si>
  <si>
    <t>trilhacerta.com</t>
  </si>
  <si>
    <t>brainev.com</t>
  </si>
  <si>
    <t>ciowomenmagazine.com</t>
  </si>
  <si>
    <t>tiktok.com</t>
  </si>
  <si>
    <t>afun.io</t>
  </si>
  <si>
    <t>linkr.bio</t>
  </si>
  <si>
    <t>linktr.ee</t>
  </si>
  <si>
    <t>a.co</t>
  </si>
  <si>
    <t>opensea.io</t>
  </si>
  <si>
    <t>revistaoeste.com</t>
  </si>
  <si>
    <t>ift.tt</t>
  </si>
  <si>
    <t>kucoin.com</t>
  </si>
  <si>
    <t>falabarreiras.com</t>
  </si>
  <si>
    <t>twitter.com</t>
  </si>
  <si>
    <t>espiritualhope.com linktr.ee</t>
  </si>
  <si>
    <t>linktr.ee espiritualhope.com</t>
  </si>
  <si>
    <t>dlvr.it</t>
  </si>
  <si>
    <t>youtu.be canva.com</t>
  </si>
  <si>
    <t>braip.com</t>
  </si>
  <si>
    <t>com.ar</t>
  </si>
  <si>
    <t>byebnk.com</t>
  </si>
  <si>
    <t>wa.me</t>
  </si>
  <si>
    <t>gabrielamosmann</t>
  </si>
  <si>
    <t>bitfinex myfirstbitcoin_</t>
  </si>
  <si>
    <t>fiis_fi faveladoinvest</t>
  </si>
  <si>
    <t>faveladoinvest felipetadewald</t>
  </si>
  <si>
    <t>https://t.co/jQXBw6NxBr https://pbs.twimg.com/ext_tw_video_thumb/1616643124406755329/pu/img/IWwTrxFJXp40Z4bp.jpg</t>
  </si>
  <si>
    <t>https://t.co/NLTa3vvBFq https://pbs.twimg.com/ext_tw_video_thumb/1619160807035609095/pu/img/HJDtD5Wxs5zOzjpB.jpg</t>
  </si>
  <si>
    <t>https://t.co/Wt5npzUBX0 https://pbs.twimg.com/media/Fz8j7zaWwAAJqL8.jpg</t>
  </si>
  <si>
    <t>https://t.co/hwGk18ZNQP https://pbs.twimg.com/media/F4jO31PXAAAsA-J.jpg</t>
  </si>
  <si>
    <t>https://t.co/QR3YgyeFBp https://pbs.twimg.com/media/F4izdn6XsAAY9sB.jpg</t>
  </si>
  <si>
    <t>https://t.co/hGSQPYyvJD https://pbs.twimg.com/media/FsqGUHhXoAMHUAu.jpg</t>
  </si>
  <si>
    <t>https://t.co/98UfxvsNsY https://pbs.twimg.com/media/FlwUCOZXkAEza0k.png</t>
  </si>
  <si>
    <t>https://t.co/DsLTdwcNj1 https://pbs.twimg.com/media/F6ZZKTCb0AALCSI.jpg</t>
  </si>
  <si>
    <t>https://t.co/MTETVJvfZa https://pbs.twimg.com/ext_tw_video_thumb/1682090308169768974/pu/img/IOQipNMpv40h0_y8.jpg</t>
  </si>
  <si>
    <t>https://t.co/oYxe2bQSB5 https://pbs.twimg.com/ext_tw_video_thumb/1676593664712228864/pu/img/EZkBYiNAbxYfty2z.jpg</t>
  </si>
  <si>
    <t>https://t.co/uQ39WlOdHx https://pbs.twimg.com/media/Fzt_ZtEX0AU2FFW.jpg</t>
  </si>
  <si>
    <t>https://t.co/n0Oi5HyAHd https://pbs.twimg.com/ext_tw_video_thumb/1612875661487521793/pu/img/oFQNRXIWeyo0cDOA.jpg</t>
  </si>
  <si>
    <t>https://t.co/CclJV57t2Z https://pbs.twimg.com/media/FwGq3sxXoAEGcph.jpg</t>
  </si>
  <si>
    <t>https://t.co/rID7Z6iWsc https://pbs.twimg.com/ext_tw_video_thumb/1669145369844801537/pu/img/n7y2tl0wcFBdGShA.jpg</t>
  </si>
  <si>
    <t>https://t.co/8a3bXU62Nl https://pbs.twimg.com/ext_tw_video_thumb/1616541182904991773/pu/img/07xOPDa8YizEk8H_.jpg</t>
  </si>
  <si>
    <t>https://t.co/tMRBqXvI1H https://pbs.twimg.com/media/Fufhu5lXoAAtqgB.jpg</t>
  </si>
  <si>
    <t>https://t.co/Ve9Z6nG9KD https://pbs.twimg.com/ext_tw_video_thumb/1667687669088894977/pu/img/6pfpIs7b4wMHUOfm.jpg</t>
  </si>
  <si>
    <t>https://t.co/G1Fwg3HYfH https://t.co/G1Fwg3HYfH https://t.co/G1Fwg3HYfH https://t.co/G1Fwg3HYfH https://pbs.twimg.com/media/F3wAgySW4BYnw0z.jpg https://pbs.twimg.com/media/F3wAic1W4AQfY_a.jpg https://pbs.twimg.com/media/F3wAjWdW4AU6SzV.jpg https://pbs.twimg.com/media/F3wAkjJW4A8uOOO.jpg</t>
  </si>
  <si>
    <t>https://t.co/zCWpiVXC8B https://t.co/zCWpiVXC8B https://t.co/zCWpiVXC8B https://pbs.twimg.com/media/F3wBCNaWMAAgsZZ.jpg https://pbs.twimg.com/media/F3wBDvDWwAADm8q.jpg https://pbs.twimg.com/media/F3wBFFUWcAAJw1o.jpg</t>
  </si>
  <si>
    <t>https://t.co/pGnKZ5klH3 https://t.co/pGnKZ5klH3 https://t.co/pGnKZ5klH3 https://t.co/pGnKZ5klH3 https://pbs.twimg.com/media/F4ubz-EWsAA_5hQ.jpg https://pbs.twimg.com/media/F4ub1mpX0AEvMNW.jpg https://pbs.twimg.com/media/F4ub1oNWEAAdAnc.jpg https://pbs.twimg.com/media/F4ub1wKWMBAvJAg.jpg</t>
  </si>
  <si>
    <t>https://t.co/x0B8Otcsch https://pbs.twimg.com/ext_tw_video_thumb/1696601423746629635/pu/img/OgxsJ8jCFcyYfrUR.jpg</t>
  </si>
  <si>
    <t>https://t.co/On7RNklhWR https://pbs.twimg.com/media/FxI0jw8WIAMIFSu.jpg</t>
  </si>
  <si>
    <t>https://t.co/HzMxCMpIF8 https://pbs.twimg.com/tweet_video_thumb/FznRH33XsAEdgU2.jpg</t>
  </si>
  <si>
    <t>https://t.co/MXrTCWPU7k https://pbs.twimg.com/media/F3wXqBXWkAAnz8d.jpg</t>
  </si>
  <si>
    <t>https://t.co/LvDyFPAS4h https://pbs.twimg.com/media/F07vjWkWIAIHHEb.jpg</t>
  </si>
  <si>
    <t>https://t.co/8E0G9XQkQs https://pbs.twimg.com/ext_tw_video_thumb/1639404504717066240/pu/img/mPrUjtIqiThfXZQv.jpg</t>
  </si>
  <si>
    <t>https://t.co/W252zk4SeX https://pbs.twimg.com/ext_tw_video_thumb/1682773371174436864/pu/img/b7C6U_d-P02M93Um.jpg</t>
  </si>
  <si>
    <t>https://t.co/poaOJFDS0s https://pbs.twimg.com/ext_tw_video_thumb/1616541184339447808/pu/img/UKBwQSY51xe4AuwT.jpg</t>
  </si>
  <si>
    <t>https://t.co/59KkQkw7O8 https://pbs.twimg.com/media/Frw7FOlWcAw4Yuo.jpg</t>
  </si>
  <si>
    <t>https://t.co/o4RRZt2JCu https://pbs.twimg.com/media/Fp2RblMXoAAN2sA.jpg</t>
  </si>
  <si>
    <t>https://t.co/TFIWMflrLI https://pbs.twimg.com/media/Fpk7zVaXsAEgy74.jpg</t>
  </si>
  <si>
    <t>https://t.co/zwi1VxUpLC https://t.co/zwi1VxUpLC https://pbs.twimg.com/media/FrHc8kqXoCM1lnH.jpg https://pbs.twimg.com/media/FrHc8koXoAYrHka.jpg</t>
  </si>
  <si>
    <t>https://t.co/wjlLNTZiu7 https://pbs.twimg.com/media/FqULOwwXoBkEdD5.jpg</t>
  </si>
  <si>
    <t>https://t.co/JejgIlqvlF https://pbs.twimg.com/media/FqJPjzAWwAI_J8y.jpg</t>
  </si>
  <si>
    <t>https://t.co/FkCiVbIxN1 https://pbs.twimg.com/media/FmWpmBHXEAEnBAj.jpg</t>
  </si>
  <si>
    <t>https://t.co/DjzN8PWGJz https://t.co/DjzN8PWGJz https://t.co/DjzN8PWGJz https://pbs.twimg.com/media/FtdONjLWIAApxwj.jpg https://pbs.twimg.com/media/FtdONjKXgAYn39A.jpg https://pbs.twimg.com/media/FtdONjKWcAE47qx.jpg</t>
  </si>
  <si>
    <t>https://t.co/k8jkbULCnM https://pbs.twimg.com/media/Fsjibi2XgAEBNsu.jpg</t>
  </si>
  <si>
    <t>https://t.co/iOwTTdlaX0 https://pbs.twimg.com/media/FloE550WQAANapm.jpg</t>
  </si>
  <si>
    <t>https://t.co/KJzdM82oFU https://t.co/KJzdM82oFU https://t.co/KJzdM82oFU https://t.co/KJzdM82oFU https://pbs.twimg.com/media/FvxLJyMXsAI5Icn.jpg https://pbs.twimg.com/media/FvxLJyLXsA06Ssq.jpg https://pbs.twimg.com/media/FvxLJyMXgAMsaA2.jpg https://pbs.twimg.com/media/FvxLJyNWIAECxGA.jpg</t>
  </si>
  <si>
    <t>https://t.co/PN34SYeqJY https://pbs.twimg.com/media/FvJAfHHWACAkdXW.jpg</t>
  </si>
  <si>
    <t>https://t.co/A0bMzDtxgf https://pbs.twimg.com/media/F2D-u3aXQAAEkH-.jpg</t>
  </si>
  <si>
    <t>https://t.co/pzWldZGeqB https://pbs.twimg.com/media/FvDahdUXgAA3awb.jpg</t>
  </si>
  <si>
    <t>https://t.co/5ZlWFIgLO5 https://pbs.twimg.com/media/FrROOutXoAQkKDg.jpg</t>
  </si>
  <si>
    <t>https://t.co/qQOiGt62hf https://pbs.twimg.com/media/F48VFn9WAAIoeiY.jpg</t>
  </si>
  <si>
    <t>https://t.co/K22T2HH3xR https://t.co/K22T2HH3xR https://pbs.twimg.com/media/F2EbA_dW4AEG2QV.jpg https://pbs.twimg.com/media/F2EbA_rXQAA8Cix.jpg</t>
  </si>
  <si>
    <t>https://t.co/DvTaEPtwGI https://pbs.twimg.com/ext_tw_video_thumb/1637997489377640449/pu/img/g-b70OAsr0xRbQuv.jpg</t>
  </si>
  <si>
    <t>https://t.co/RCzMRNfwL4 https://pbs.twimg.com/ext_tw_video_thumb/1629904374452441089/pu/img/0D_7PlpH-0lrIAPf.jpg</t>
  </si>
  <si>
    <t>https://t.co/nbFIh9hleg https://pbs.twimg.com/media/Fw3fyIOXwAEYzVy.jpg</t>
  </si>
  <si>
    <t>https://t.co/jkV3qbr1zX https://pbs.twimg.com/media/Ftn5pkmX0AEWXYg.jpg</t>
  </si>
  <si>
    <t>https://t.co/eo2vEFUp7X https://pbs.twimg.com/ext_tw_video_thumb/1660290056618221569/pu/img/zUoNvg7YVLz5SYdQ.jpg</t>
  </si>
  <si>
    <t>https://t.co/g4ke1vKhag https://pbs.twimg.com/ext_tw_video_thumb/1623707035714846721/pu/img/-7hlB10T9Cx_tbl_.jpg</t>
  </si>
  <si>
    <t>https://t.co/fK7hZgFWxW https://pbs.twimg.com/media/FoYIiaaXsBEDskD.jpg</t>
  </si>
  <si>
    <t>https://t.co/o3RLpGvieL https://pbs.twimg.com/media/F3nHZklW8AAJyfI.jpg</t>
  </si>
  <si>
    <t>https://t.co/NpwiHcScw7 https://pbs.twimg.com/media/F3nHHsdW8AAcky-.jpg</t>
  </si>
  <si>
    <t>https://t.co/TuxOzksY3W https://pbs.twimg.com/ext_tw_video_thumb/1691301955577040896/pu/img/MyyApOfI1HZ6vqmE.jpg</t>
  </si>
  <si>
    <t>https://t.co/enOsoLce15 https://pbs.twimg.com/media/FmmoJM3XgAEdrGh.jpg</t>
  </si>
  <si>
    <t>https://t.co/lS669wOdgQ https://pbs.twimg.com/ext_tw_video_thumb/1616441002277089282/pu/img/0iTHPQDv89T1Wqr8.jpg</t>
  </si>
  <si>
    <t>https://t.co/nfqXf9k9ea https://t.co/nfqXf9k9ea https://t.co/nfqXf9k9ea https://pbs.twimg.com/media/FnQizVBXEA0GoHX.jpg https://pbs.twimg.com/media/FnQizVDXEAMPRUy.jpg https://pbs.twimg.com/media/FnQizVDX0AIeAOs.jpg</t>
  </si>
  <si>
    <t>https://t.co/K1ve4ARywe https://pbs.twimg.com/media/F1PLGo7XgAIfLwb.jpg</t>
  </si>
  <si>
    <t>https://t.co/GfanUUHdHF https://pbs.twimg.com/media/FtM_WpxX0AYiFOl.jpg</t>
  </si>
  <si>
    <t>https://t.co/nstiMyHpxg https://pbs.twimg.com/media/FsZf1z1WAAM3W4s.jpg</t>
  </si>
  <si>
    <t>https://t.co/tshnZVARFm https://pbs.twimg.com/ext_tw_video_thumb/1629271989163634689/pu/img/z6m76oChO9iV90iG.jpg</t>
  </si>
  <si>
    <t>https://t.co/x5bB58Ix3o https://pbs.twimg.com/ext_tw_video_thumb/1650240952970117126/pu/img/TmCGUDl0HcBROdt-.jpg</t>
  </si>
  <si>
    <t>https://t.co/kDdk2AaPJK https://pbs.twimg.com/ext_tw_video_thumb/1648373291697029121/pu/img/SqWJ750IE_1A4WDc.jpg</t>
  </si>
  <si>
    <t>https://t.co/JFW5eJU3uD https://pbs.twimg.com/media/FzTXq2UWwAET3x-.jpg</t>
  </si>
  <si>
    <t>https://t.co/TsIhSOuqNe https://pbs.twimg.com/media/FzuAQ-2WYAAoq2G.jpg</t>
  </si>
  <si>
    <t>https://t.co/emwrTkKZJP https://pbs.twimg.com/ext_tw_video_thumb/1612814747019214849/pu/img/eY3XU2A8QRHp8lwJ.jpg</t>
  </si>
  <si>
    <t>https://t.co/VNv4DEAdw4 https://pbs.twimg.com/ext_tw_video_thumb/1634628655564353538/pu/img/w88M5ZTP0eniGEtb.jpg</t>
  </si>
  <si>
    <t>https://t.co/C1MRMlK2cf https://pbs.twimg.com/ext_tw_video_thumb/1634321670012846081/pu/img/zjuzHX9JFKJXjTCC.jpg</t>
  </si>
  <si>
    <t>https://t.co/KlKNFHlEAJ https://pbs.twimg.com/ext_tw_video_thumb/1635831552495034370/pu/img/WrS7f9Bt25YwwuCs.jpg</t>
  </si>
  <si>
    <t>https://t.co/0QAMbOf25k https://pbs.twimg.com/media/FrNzy5nX0AMeU_b.jpg</t>
  </si>
  <si>
    <t>https://t.co/Ge687TrCOm https://pbs.twimg.com/ext_tw_video_thumb/1635422296725766145/pu/img/IL9wU6up-7MCPA5B.jpg</t>
  </si>
  <si>
    <t>https://t.co/JkhiioQzhT https://pbs.twimg.com/ext_tw_video_thumb/1635104642714460160/pu/img/tsFmQc1Cxin3ysmb.jpg</t>
  </si>
  <si>
    <t>https://t.co/63FZ1VKzDK https://pbs.twimg.com/ext_tw_video_thumb/1634968775823962112/pu/img/QNcpN85tbmNA8tL-.jpg</t>
  </si>
  <si>
    <t>https://t.co/Ph6n75DmW7 https://pbs.twimg.com/ext_tw_video_thumb/1667265972821016577/pu/img/3njD-AJppvfJyOxo.jpg</t>
  </si>
  <si>
    <t>https://t.co/wLsNgDB6ql https://pbs.twimg.com/ext_tw_video_thumb/1666890234456416256/pu/img/Rj6HtwZl7hkjW0Oi.jpg</t>
  </si>
  <si>
    <t>https://t.co/tIaspuCb05 https://pbs.twimg.com/ext_tw_video_thumb/1660351924405772289/pu/img/FJKrHhipbTV4fcKc.jpg</t>
  </si>
  <si>
    <t>https://t.co/U6rTi1NgEd https://pbs.twimg.com/ext_tw_video_thumb/1660036278501404674/pu/img/9veD1TVNMSusLJnF.jpg</t>
  </si>
  <si>
    <t>https://t.co/Gjl04XlbkA https://pbs.twimg.com/ext_tw_video_thumb/1659697488750604288/pu/img/XMb9ZgKo5fp5C8Mg.jpg</t>
  </si>
  <si>
    <t>https://t.co/oHZU4ksY4m https://pbs.twimg.com/ext_tw_video_thumb/1659336436368195584/pu/img/eiKTwFMnW9-_kwVI.jpg</t>
  </si>
  <si>
    <t>https://t.co/czNP3jDDHD https://pbs.twimg.com/ext_tw_video_thumb/1657155179869814784/pu/img/g5AILcDrn9sUIQ_Q.jpg</t>
  </si>
  <si>
    <t>https://t.co/nE7BKX8CQV https://pbs.twimg.com/ext_tw_video_thumb/1654249111590166529/pu/img/piEO7WzR2Cyjd-4N.jpg</t>
  </si>
  <si>
    <t>https://t.co/2CUVd1Laju https://pbs.twimg.com/ext_tw_video_thumb/1653894553034801152/pu/img/edTOt4BPGB6vyKNe.jpg</t>
  </si>
  <si>
    <t>https://t.co/ECM85Cr3bL https://pbs.twimg.com/ext_tw_video_thumb/1653518631253188610/pu/img/Lrjuq1P_HiUE7brG.jpg</t>
  </si>
  <si>
    <t>https://t.co/4pwZfx2gPw https://pbs.twimg.com/ext_tw_video_thumb/1653182530940485633/pu/img/zmB2LCCuLXykXfrW.jpg</t>
  </si>
  <si>
    <t>https://t.co/bo9Rg9TIYx https://pbs.twimg.com/ext_tw_video_thumb/1649961082310520834/pu/img/vLy_nv3dPSxFEBEm.jpg</t>
  </si>
  <si>
    <t>https://t.co/9O2OxYxUfO https://pbs.twimg.com/ext_tw_video_thumb/1649868811456184321/pu/img/n682kmsM4XPIsRrL.jpg</t>
  </si>
  <si>
    <t>https://t.co/InZDKW36Nm https://pbs.twimg.com/ext_tw_video_thumb/1649448461136195584/pu/img/MkG7PYKl48p_WkL8.jpg</t>
  </si>
  <si>
    <t>https://t.co/Emlrsmq2Ft https://pbs.twimg.com/ext_tw_video_thumb/1649226240694403072/pu/img/_iplhvgjLODZYf6O.jpg</t>
  </si>
  <si>
    <t>https://t.co/JCZaa2SJed https://pbs.twimg.com/ext_tw_video_thumb/1649151615360725011/pu/img/mA4CNxqS-4yse81b.jpg</t>
  </si>
  <si>
    <t>https://t.co/WhPWo2d4RF https://pbs.twimg.com/ext_tw_video_thumb/1648842122236141570/pu/img/9T-vXnh_KO20iRZP.jpg</t>
  </si>
  <si>
    <t>https://t.co/E4bAlriTYm https://pbs.twimg.com/ext_tw_video_thumb/1648476199809863681/pu/img/_GIHyZBGZq27Uaz7.jpg</t>
  </si>
  <si>
    <t>https://t.co/4iGBwJsiWo https://pbs.twimg.com/ext_tw_video_thumb/1641591889441767424/pu/img/ATANlSEfSVyQ1pPF.jpg</t>
  </si>
  <si>
    <t>https://t.co/wX5JOsahEW https://pbs.twimg.com/ext_tw_video_thumb/1641233907948331010/pu/img/OhgkmEswRh7YHiYU.jpg</t>
  </si>
  <si>
    <t>https://t.co/lUrjfHZKkZ https://pbs.twimg.com/ext_tw_video_thumb/1640854845761388547/pu/img/GucM8xoLKr5mP7nO.jpg</t>
  </si>
  <si>
    <t>https://t.co/fhUgJnxyHQ https://pbs.twimg.com/ext_tw_video_thumb/1640536258446344194/pu/img/i5pXL_MeTIaX-RTq.jpg</t>
  </si>
  <si>
    <t>https://t.co/eRyhry6fiI https://pbs.twimg.com/ext_tw_video_thumb/1673450277087608838/pu/img/cVV2z9IgClPWIleP.jpg</t>
  </si>
  <si>
    <t>https://t.co/C5nR5bJ6UE https://pbs.twimg.com/ext_tw_video_thumb/1673044800696729601/pu/img/ypOfwlJHMkXeakz3.jpg</t>
  </si>
  <si>
    <t>https://t.co/tk4KcoKcrx https://pbs.twimg.com/ext_tw_video_thumb/1663316047913418754/pu/img/lkc3_UhtJYATJZNj.jpg</t>
  </si>
  <si>
    <t>https://t.co/bgI6abw02P https://pbs.twimg.com/ext_tw_video_thumb/1662865767187070977/pu/img/KSw7VDS_RdTOr8XW.jpg</t>
  </si>
  <si>
    <t>https://t.co/poUVOmrXnk https://pbs.twimg.com/ext_tw_video_thumb/1662515186064842755/pu/img/5Bw8JILmuhicxacQ.jpg</t>
  </si>
  <si>
    <t>https://t.co/yiZCob1f4L https://pbs.twimg.com/ext_tw_video_thumb/1661864015365132289/pu/img/uaR1JuliYlEefG4k.jpg</t>
  </si>
  <si>
    <t>https://t.co/qOHt9Lcm7t https://pbs.twimg.com/ext_tw_video_thumb/1661503050119278594/pu/img/A6gzhB4JSVUu6o3t.jpg</t>
  </si>
  <si>
    <t>https://t.co/aXgS3l4s3h https://pbs.twimg.com/ext_tw_video_thumb/1661142388998373376/pu/img/Qzo65mu6-iqPpwfs.jpg</t>
  </si>
  <si>
    <t>https://t.co/7qyJJ49a42 https://pbs.twimg.com/ext_tw_video_thumb/1660769953627136001/pu/img/IjBHIlUN7OSy6bSn.jpg</t>
  </si>
  <si>
    <t>https://t.co/8EJ64cUH3k https://pbs.twimg.com/ext_tw_video_thumb/1653093253695123456/pu/img/aFUDMl5ncMOb6XUE.jpg</t>
  </si>
  <si>
    <t>https://t.co/4s3Xd88iEU https://pbs.twimg.com/ext_tw_video_thumb/1652750317723738112/pu/img/PRxuUP5QRCwuyKlC.jpg</t>
  </si>
  <si>
    <t>https://t.co/JSdg8voQCu https://pbs.twimg.com/ext_tw_video_thumb/1652397527365214208/pu/img/RcpNqjKKed-GoTr0.jpg</t>
  </si>
  <si>
    <t>https://t.co/w7oPKVAsDQ https://pbs.twimg.com/ext_tw_video_thumb/1652086615043391494/pu/img/oIf4afEGvd8sxOlx.jpg</t>
  </si>
  <si>
    <t>https://t.co/KzYEFbdXVW https://pbs.twimg.com/ext_tw_video_thumb/1651725385887883268/pu/img/jB8OEI2PtZEO14Rg.jpg</t>
  </si>
  <si>
    <t>https://t.co/uBi60maanB https://pbs.twimg.com/ext_tw_video_thumb/1651371812570144768/pu/img/Kx_DcVsEGUVm7Y3q.jpg</t>
  </si>
  <si>
    <t>https://t.co/B5qDmMQFgS https://pbs.twimg.com/ext_tw_video_thumb/1651021295096561666/pu/img/9kPeW3OmJ7GHJ7on.jpg</t>
  </si>
  <si>
    <t>https://t.co/FZjoUJsUph https://pbs.twimg.com/ext_tw_video_thumb/1650674779777630208/pu/img/Ww-CPQ1CDs0O2HWf.jpg</t>
  </si>
  <si>
    <t>https://t.co/ZVidk0umIc https://pbs.twimg.com/ext_tw_video_thumb/1650568695456968704/pu/img/-to-z8jHzb22ONdZ.jpg</t>
  </si>
  <si>
    <t>https://t.co/Z319OcSSre https://pbs.twimg.com/ext_tw_video_thumb/1650312407275667457/pu/img/_qgQmYIFDL53t79r.jpg</t>
  </si>
  <si>
    <t>https://t.co/WTQAF7m8D7 https://pbs.twimg.com/ext_tw_video_thumb/1650199884828401667/pu/img/aTztFbosoT4Xi88a.jpg</t>
  </si>
  <si>
    <t>https://t.co/cqUXq4gimX https://pbs.twimg.com/ext_tw_video_thumb/1640151849054380033/pu/img/vG-Ld8cUfmdSMQee.jpg</t>
  </si>
  <si>
    <t>https://t.co/mmVF1rvPXn https://pbs.twimg.com/ext_tw_video_thumb/1640031299103608832/pu/img/WspioKA_FuavtKds.jpg</t>
  </si>
  <si>
    <t>https://t.co/aVnilWjnBS https://pbs.twimg.com/ext_tw_video_thumb/1639792204511158272/pu/img/ZVZ9LVBFK5LBR3MB.jpg</t>
  </si>
  <si>
    <t>https://t.co/OjbprLKSoZ https://pbs.twimg.com/ext_tw_video_thumb/1639697975189315584/pu/img/ZB7a6yNQZsW87EZp.jpg</t>
  </si>
  <si>
    <t>https://t.co/8zvcjm5MNx https://pbs.twimg.com/ext_tw_video_thumb/1639409113925918722/pu/img/ua1AeNd0v6XBZMux.jpg</t>
  </si>
  <si>
    <t>https://t.co/Bz1pTJOa1P https://pbs.twimg.com/ext_tw_video_thumb/1639086099992592384/pu/img/WquCv2R4TdYi0QXw.jpg</t>
  </si>
  <si>
    <t>https://t.co/qwztSRnYni https://pbs.twimg.com/ext_tw_video_thumb/1639033778331869187/pu/img/8sht6hNqaWWUI4Wi.jpg</t>
  </si>
  <si>
    <t>https://t.co/Uji8bA3yV9 https://pbs.twimg.com/ext_tw_video_thumb/1638704901092962305/pu/img/nfcjqD8nE9-CkZzl.jpg</t>
  </si>
  <si>
    <t>https://t.co/27LDSPwm4S https://pbs.twimg.com/ext_tw_video_thumb/1638667821101006855/pu/img/umbf2C4b8Nc3ddJF.jpg</t>
  </si>
  <si>
    <t>https://t.co/rwhxQtdZxm https://pbs.twimg.com/ext_tw_video_thumb/1638303197050568704/pu/img/f7As9l2HJXV1VxmF.jpg</t>
  </si>
  <si>
    <t>https://t.co/qZJKXWXN0s https://pbs.twimg.com/ext_tw_video_thumb/1638002169717698562/pu/img/sP_YvaYER8atbiv9.jpg</t>
  </si>
  <si>
    <t>https://t.co/nMttnLzlPg https://pbs.twimg.com/ext_tw_video_thumb/1637645412885487616/pu/img/-SzSddVpvgN5cKPT.jpg</t>
  </si>
  <si>
    <t>https://t.co/vLevvBtpd3 https://pbs.twimg.com/ext_tw_video_thumb/1637479114876567554/pu/img/M6g1nAiXXAG8o_N8.jpg</t>
  </si>
  <si>
    <t>https://t.co/U5QaqNqD0H https://pbs.twimg.com/ext_tw_video_thumb/1637214948982939648/pu/img/dBOgFtEW6Yw6y7wj.jpg</t>
  </si>
  <si>
    <t>https://t.co/YusdPVDcyJ https://pbs.twimg.com/ext_tw_video_thumb/1637136416827113476/pu/img/uw2J4Xg7GbdkziP_.jpg</t>
  </si>
  <si>
    <t>https://t.co/r4Tp65btc7 https://pbs.twimg.com/ext_tw_video_thumb/1636859431710236677/pu/img/EEF3TyDbQKo4qXcn.jpg</t>
  </si>
  <si>
    <t>https://t.co/TyK17joZdb https://pbs.twimg.com/ext_tw_video_thumb/1636566168973484035/pu/img/lT6RD8uOoAcHRtW2.jpg</t>
  </si>
  <si>
    <t>https://t.co/ClsagYQnDy https://pbs.twimg.com/media/FrYD3_yWwAE1zfi.jpg</t>
  </si>
  <si>
    <t>https://t.co/9koWfIsrRv https://pbs.twimg.com/ext_tw_video_thumb/1636499563065352192/pu/img/GUHPs1-Z8s-7tH0-.jpg</t>
  </si>
  <si>
    <t>https://t.co/AHnmVV5Na9 https://pbs.twimg.com/ext_tw_video_thumb/1636142733420032002/pu/img/yLH50zqjAcJT2zKe.jpg</t>
  </si>
  <si>
    <t>https://t.co/G0IpJ01IOa https://pbs.twimg.com/ext_tw_video_thumb/1673837742801707014/pu/img/6Xo5AQZxn4FIi1-3.jpg</t>
  </si>
  <si>
    <t>https://t.co/TAL7yadbvh https://pbs.twimg.com/ext_tw_video_thumb/1670928671220154373/pu/img/Xrlz6UrDvDMZx9XE.jpg</t>
  </si>
  <si>
    <t>https://t.co/c8PSx97kve https://pbs.twimg.com/ext_tw_video_thumb/1670522380874137600/pu/img/dahWwvfJgA4v8Om4.jpg</t>
  </si>
  <si>
    <t>https://t.co/6EbwJJsZ4m https://pbs.twimg.com/ext_tw_video_thumb/1670241105797890048/pu/img/l6nHCKzvAGA127Vy.jpg</t>
  </si>
  <si>
    <t>https://t.co/u3RnwRxrqX https://pbs.twimg.com/ext_tw_video_thumb/1669834809474969600/pu/img/CB8eoUu0vWrVwOAG.jpg</t>
  </si>
  <si>
    <t>https://t.co/oqZ3RSNSNd https://pbs.twimg.com/ext_tw_video_thumb/1669467236891869184/pu/img/N4C3V5n3y9R_o8va.jpg</t>
  </si>
  <si>
    <t>https://t.co/nTcmEySOCA https://pbs.twimg.com/ext_tw_video_thumb/1669100795839561728/pu/img/KfpgmtpGU-_FRQVs.jpg</t>
  </si>
  <si>
    <t>https://t.co/SKkGOHlkWU https://pbs.twimg.com/ext_tw_video_thumb/1666565564343410688/pu/img/l7MhV9SFV3gsZNpF.jpg</t>
  </si>
  <si>
    <t>https://t.co/po4X5WEPAS https://pbs.twimg.com/ext_tw_video_thumb/1666209729675157511/pu/img/5EUH87hgjpgHnfbh.jpg</t>
  </si>
  <si>
    <t>https://t.co/wUBnuEB7lb https://pbs.twimg.com/ext_tw_video_thumb/1665426115970625537/pu/img/zilPuxvSYbLdGjrK.jpg</t>
  </si>
  <si>
    <t>https://t.co/jqWXpZASsV https://pbs.twimg.com/ext_tw_video_thumb/1664762600041660420/pu/img/z9JDxAP53lmHPF1O.jpg</t>
  </si>
  <si>
    <t>https://t.co/gl0V7Ifa0N https://pbs.twimg.com/ext_tw_video_thumb/1664400101052235785/pu/img/kVkWddbwZV2uWTmM.jpg</t>
  </si>
  <si>
    <t>https://t.co/TmtrJwqbfV https://pbs.twimg.com/ext_tw_video_thumb/1664032766806175744/pu/img/2IEaHj7pnU76FWnT.jpg</t>
  </si>
  <si>
    <t>https://t.co/PvtE69Sp3Z https://pbs.twimg.com/ext_tw_video_thumb/1656808346555392000/pu/img/sV-KweRtsVEFq_Bo.jpg</t>
  </si>
  <si>
    <t>https://t.co/3yBxIPih1T https://pbs.twimg.com/ext_tw_video_thumb/1656431543332532225/pu/img/LHJ4U8lhHhnz1qli.jpg</t>
  </si>
  <si>
    <t>https://t.co/dLHRNluo6c https://pbs.twimg.com/ext_tw_video_thumb/1656064983069782019/pu/img/vv1dDfm-HYdQODAa.jpg</t>
  </si>
  <si>
    <t>https://t.co/au2FsRKe7v https://pbs.twimg.com/ext_tw_video_thumb/1655710996936245249/pu/img/AkiCz1UupWspIyG-.jpg</t>
  </si>
  <si>
    <t>https://t.co/K8NCtTezwo https://pbs.twimg.com/ext_tw_video_thumb/1655375520224215041/pu/img/52JlZfHG-PozHlnj.jpg</t>
  </si>
  <si>
    <t>https://t.co/OxIEYrkb6N https://pbs.twimg.com/ext_tw_video_thumb/1655302984161435650/pu/img/U6-oB4kSQPr-JJp6.jpg</t>
  </si>
  <si>
    <t>https://t.co/sxnNK7vape https://pbs.twimg.com/ext_tw_video_thumb/1654925380787027971/pu/img/_jAe8TfGo_-6QzAo.jpg</t>
  </si>
  <si>
    <t>https://t.co/cph5LRRXZJ https://pbs.twimg.com/ext_tw_video_thumb/1654622871166107648/pu/img/9aMx-52l-7xtGWJ1.jpg</t>
  </si>
  <si>
    <t>https://t.co/jWf38AwdqG https://pbs.twimg.com/ext_tw_video_thumb/1644490285722861568/pu/img/aBXI29chA73c9ak9.jpg</t>
  </si>
  <si>
    <t>https://t.co/qmFQvVxICL https://pbs.twimg.com/ext_tw_video_thumb/1644406004484911104/pu/img/o3nXAGx_ieg_0Dlb.jpg</t>
  </si>
  <si>
    <t>https://t.co/refFaZ2Iur https://pbs.twimg.com/ext_tw_video_thumb/1644120960809807872/pu/img/ZCCSjidJSqZXtGG0.jpg</t>
  </si>
  <si>
    <t>https://t.co/0uvmpBfpuu https://pbs.twimg.com/ext_tw_video_thumb/1643749424424730625/pu/img/u2TC_Bz-jP9x0EaC.jpg</t>
  </si>
  <si>
    <t>https://t.co/EjyFCUftKa https://pbs.twimg.com/ext_tw_video_thumb/1643035048541581312/pu/img/jN_wGf2H_EXJ9sHP.jpg</t>
  </si>
  <si>
    <t>https://t.co/iZsXum40a6 https://pbs.twimg.com/ext_tw_video_thumb/1642704281500352513/pu/img/PexJQ8wDWzC36LGP.jpg</t>
  </si>
  <si>
    <t>https://t.co/tQpcmUUXG9 https://pbs.twimg.com/ext_tw_video_thumb/1642639153593556992/pu/img/eWBF6sAozYq41ql8.jpg</t>
  </si>
  <si>
    <t>https://t.co/ElChZQlKw0 https://pbs.twimg.com/ext_tw_video_thumb/1642565768410718210/pu/img/Darhkao-sHvcweC8.jpg</t>
  </si>
  <si>
    <t>https://t.co/IhebbY4mRf https://pbs.twimg.com/ext_tw_video_thumb/1642295313410015238/pu/img/oZuiJ0Cni-Q2lQ3R.jpg</t>
  </si>
  <si>
    <t>https://t.co/fXkhTShQ3y https://pbs.twimg.com/ext_tw_video_thumb/1642233820849008642/pu/img/wdygOEUBfScR1Tp8.jpg</t>
  </si>
  <si>
    <t>https://t.co/MaUbtrks9S https://pbs.twimg.com/ext_tw_video_thumb/1641956371540111363/pu/img/DeSa79R1IZpwVH_i.jpg</t>
  </si>
  <si>
    <t>https://t.co/b821e32pBj https://pbs.twimg.com/ext_tw_video_thumb/1674549819036016645/pu/img/lgEEjtuQRHUIT_dp.jpg</t>
  </si>
  <si>
    <t>https://t.co/Ti0BuwYtTg https://pbs.twimg.com/ext_tw_video_thumb/1674195968567255040/pu/img/H5RyGaT3WBfOWAzk.jpg</t>
  </si>
  <si>
    <t>https://t.co/G0mU1zprzr https://pbs.twimg.com/ext_tw_video_thumb/1672360439190093826/pu/img/MdA__LlqKvEkPvGG.jpg</t>
  </si>
  <si>
    <t>https://t.co/box65hvqKd https://pbs.twimg.com/ext_tw_video_thumb/1672000549288329218/pu/img/IPOte4695u-iZmBU.jpg</t>
  </si>
  <si>
    <t>https://t.co/9x8N2kermf https://pbs.twimg.com/ext_tw_video_thumb/1671644786032353281/pu/img/RXvU3nuhoXgW21GS.jpg</t>
  </si>
  <si>
    <t>https://t.co/8uGnayPV0m https://pbs.twimg.com/ext_tw_video_thumb/1671278450018009089/pu/img/69Ev-t5ENeu7fWoS.jpg</t>
  </si>
  <si>
    <t>https://t.co/0dJehCLoT7 https://pbs.twimg.com/ext_tw_video_thumb/1668737072100782081/pu/img/u16ufgUQBI1OMwhl.jpg</t>
  </si>
  <si>
    <t>https://t.co/c4cGJbuDfL https://pbs.twimg.com/ext_tw_video_thumb/1668377101202759682/pu/img/fikvHtG5jWfeKhiE.jpg</t>
  </si>
  <si>
    <t>https://t.co/fOdO7hE8H6 https://pbs.twimg.com/ext_tw_video_thumb/1667949721187434496/pu/img/K5SIX5MfGmkiaIaB.jpg</t>
  </si>
  <si>
    <t>https://t.co/ry9wb7ImkN https://pbs.twimg.com/ext_tw_video_thumb/1658964187312189440/pu/img/blWhPKavmv-gnVAL.jpg</t>
  </si>
  <si>
    <t>https://t.co/sAIqHIyipj https://pbs.twimg.com/ext_tw_video_thumb/1658595499094540291/pu/img/AeOO3r8LAJyo9vod.jpg</t>
  </si>
  <si>
    <t>https://t.co/9BvJtHvyGZ https://pbs.twimg.com/ext_tw_video_thumb/1658248028346564611/pu/img/C7JBb5qjGzhmD8te.jpg</t>
  </si>
  <si>
    <t>https://t.co/LaNPYVnDOS https://pbs.twimg.com/ext_tw_video_thumb/1657812732777824257/pu/img/x_InyY3wesvBlV4V.jpg</t>
  </si>
  <si>
    <t>https://t.co/UopGxTCOPm https://pbs.twimg.com/ext_tw_video_thumb/1657524258992472064/pu/img/tL8ZDikT7LWO9EsK.jpg</t>
  </si>
  <si>
    <t>https://t.co/Rjyp7oNdy4 https://pbs.twimg.com/ext_tw_video_thumb/1647784471507116034/pu/img/t7tXUOjBr6bosPg-.jpg</t>
  </si>
  <si>
    <t>https://t.co/3SfsM0y6Uu https://pbs.twimg.com/ext_tw_video_thumb/1647335475974209538/pu/img/oTWEBPMwVEHfwfuP.jpg</t>
  </si>
  <si>
    <t>https://t.co/LQjKnYlYPl https://pbs.twimg.com/ext_tw_video_thumb/1647017904070705156/pu/img/BnafvMM5im1Kwiyq.jpg</t>
  </si>
  <si>
    <t>https://t.co/tgLIXR8hhk https://pbs.twimg.com/ext_tw_video_thumb/1646661093681512452/pu/img/A-bXsStl5bgDPa9q.jpg</t>
  </si>
  <si>
    <t>https://t.co/9mXaywHCkU https://pbs.twimg.com/ext_tw_video_thumb/1646294109429039104/pu/img/71MOAeXAunAmJ_l2.jpg</t>
  </si>
  <si>
    <t>https://t.co/k0tfoOGGZC https://pbs.twimg.com/ext_tw_video_thumb/1645918271139373058/pu/img/f5F560anPPE5TFXm.jpg</t>
  </si>
  <si>
    <t>https://t.co/0wNZYJRs3a https://pbs.twimg.com/ext_tw_video_thumb/1645550220120293382/pu/img/7T_TuP84uCdHyC-M.jpg</t>
  </si>
  <si>
    <t>https://t.co/ScVtpbMWH9 https://pbs.twimg.com/ext_tw_video_thumb/1645138101516357635/pu/img/4qwwzof45yFvBY6c.jpg</t>
  </si>
  <si>
    <t>https://t.co/aWmqiESGs2 https://pbs.twimg.com/ext_tw_video_thumb/1644864079180320773/pu/img/tsyyLsAmtlTE5BlD.jpg</t>
  </si>
  <si>
    <t>https://t.co/UhEwcnwv3Z https://pbs.twimg.com/ext_tw_video_thumb/1644814691443654659/pu/img/y6ISxAVums5_6SiU.jpg</t>
  </si>
  <si>
    <t>https://t.co/FImDSs0xHv https://pbs.twimg.com/ext_tw_video_thumb/1643652465428930560/pu/img/ZT_BXGP9bzV5xHv_.jpg</t>
  </si>
  <si>
    <t>https://t.co/5VuVvKjhd5 https://pbs.twimg.com/ext_tw_video_thumb/1698788912238395392/pu/img/w9hlWr3MlbTRGN9X.jpg</t>
  </si>
  <si>
    <t>https://t.co/HdYDA6wrjX https://pbs.twimg.com/ext_tw_video_thumb/1698670542750965760/pu/img/lkR2MncEsxgz0a2W.jpg</t>
  </si>
  <si>
    <t>https://t.co/AFT01xMf4M https://pbs.twimg.com/ext_tw_video_thumb/1704630733216571392/pu/img/O2d9KI_gRSQ_StK5.jpg</t>
  </si>
  <si>
    <t>https://t.co/pGIuvJ1owt https://pbs.twimg.com/ext_tw_video_thumb/1701981144734961664/pu/img/X6nYk5Or035GA9JA.jpg</t>
  </si>
  <si>
    <t>https://t.co/Fnu9ygScUz https://pbs.twimg.com/media/Fv8MvJxX0AE8Qj2.jpg</t>
  </si>
  <si>
    <t>https://t.co/EX2YX0ZLtd https://pbs.twimg.com/media/Fln-441WIAINyLF.jpg</t>
  </si>
  <si>
    <t>https://t.co/Pap3epQtuX https://pbs.twimg.com/media/Fo-sNetXgAYsHoa.jpg</t>
  </si>
  <si>
    <t>https://t.co/5dbLgLITSE https://pbs.twimg.com/amplify_video_thumb/1691919079488065536/img/fnXcx4h3EvzhEoZt.jpg</t>
  </si>
  <si>
    <t>https://t.co/mZZ0UGoH8b https://pbs.twimg.com/media/FuLaqEPWAAkE3ot.jpg</t>
  </si>
  <si>
    <t>https://t.co/9JaB8WtOjX https://pbs.twimg.com/media/FnvUiL5WYAQxh7L.jpg</t>
  </si>
  <si>
    <t>https://t.co/w78jEsZapP https://pbs.twimg.com/media/FoPL5fFXwAMquVg.jpg</t>
  </si>
  <si>
    <t>https://t.co/FVWh8p0FZo https://pbs.twimg.com/media/F5zczRsWIAAYj8x.jpg</t>
  </si>
  <si>
    <t>https://t.co/r0UyHC4Yyw https://pbs.twimg.com/media/FrWOkmfaMAIrDpJ.jpg</t>
  </si>
  <si>
    <t>https://t.co/vwKKa3KO68 https://pbs.twimg.com/media/F2jgchVWcAAPFmx.jpg</t>
  </si>
  <si>
    <t>https://t.co/OuRaSS9RIc https://t.co/OuRaSS9RIc https://t.co/OuRaSS9RIc https://pbs.twimg.com/media/Fs_htmbXgAEdQnY.jpg https://pbs.twimg.com/media/Fs_htmbXgAQAPRs.jpg https://pbs.twimg.com/media/Fs_htmbX0AIbUJN.jpg</t>
  </si>
  <si>
    <t>https://t.co/T8punNBPzi https://pbs.twimg.com/ext_tw_video_thumb/1652737923509370882/pu/img/ImUJEC7DkWHQd5XC.jpg</t>
  </si>
  <si>
    <t>https://t.co/ZhALRrLfn1 https://pbs.twimg.com/media/FmP_B3baYAEkad4.jpg</t>
  </si>
  <si>
    <t>https://t.co/DcyfLR1y2e https://pbs.twimg.com/ext_tw_video_thumb/1643289750965481473/pu/img/MV7-gHGZqsnvIG9r.jpg</t>
  </si>
  <si>
    <t>https://t.co/gjpFCwhly9 https://pbs.twimg.com/ext_tw_video_thumb/1692262308645400577/pu/img/05qg9SKyeECT4P-A.jpg</t>
  </si>
  <si>
    <t>https://t.co/eMqSoi2EkM https://pbs.twimg.com/media/F0mwQdpXsAE9tsR.jpg</t>
  </si>
  <si>
    <t>https://t.co/jl1gVdUfSu https://pbs.twimg.com/tweet_video_thumb/FsnomMSXgAAGUWi.jpg</t>
  </si>
  <si>
    <t>https://t.co/wdQ420kcNM https://pbs.twimg.com/media/FygH-eJWcAAZ2bk.jpg</t>
  </si>
  <si>
    <t>https://t.co/mjQ4orgg1R https://pbs.twimg.com/media/FpZ6SMhXgAIYOFp.jpg</t>
  </si>
  <si>
    <t>https://t.co/3cVT2FWH2x https://pbs.twimg.com/media/Fo16QNhXgAAPMoY.jpg</t>
  </si>
  <si>
    <t>https://t.co/QhImMVx2zp https://pbs.twimg.com/ext_tw_video_thumb/1612062866680516608/pu/img/DKxFwzb4Eac_OCGz.jpg</t>
  </si>
  <si>
    <t>https://t.co/LvErzXD42m https://pbs.twimg.com/ext_tw_video_thumb/1645381352689213442/pu/img/OZpFdfRLZi9pgpw2.jpg</t>
  </si>
  <si>
    <t>https://t.co/wCq0ym5aMd https://pbs.twimg.com/ext_tw_video_thumb/1642635294309490689/pu/img/NF8VKkZdsBs3OFH8.jpg</t>
  </si>
  <si>
    <t>https://t.co/XePzJZvOaM https://pbs.twimg.com/ext_tw_video_thumb/1693236107918397440/pu/img/KYTUSU2Wym-IZUh4.jpg</t>
  </si>
  <si>
    <t>https://t.co/nEveiu2PfC https://pbs.twimg.com/ext_tw_video_thumb/1628741595683082240/pu/img/4oEzZnotGpzVM5fD.jpg</t>
  </si>
  <si>
    <t>https://t.co/hm5UDnVtI1 https://pbs.twimg.com/ext_tw_video_thumb/1662250866659803139/pu/img/ARP7Wcqo7MwIBGvQ.jpg</t>
  </si>
  <si>
    <t>https://t.co/T4kLplylQf https://pbs.twimg.com/ext_tw_video_thumb/1662250587335929856/pu/img/KcRz7cAmZ1MmoUwu.jpg</t>
  </si>
  <si>
    <t>https://t.co/VjV812rxj6 https://pbs.twimg.com/ext_tw_video_thumb/1662250190684803073/pu/img/i_TG5xabSN2RcJA2.jpg</t>
  </si>
  <si>
    <t>https://t.co/R2RxtbVk6Z https://pbs.twimg.com/media/F3CU9llWQAAOpmL.jpg</t>
  </si>
  <si>
    <t>https://t.co/jMGAx7LVdc https://pbs.twimg.com/media/FqD1J5JXwAAIBXu.png</t>
  </si>
  <si>
    <t>https://t.co/gvUEqC2YAn https://pbs.twimg.com/media/Fzc4MrUacAAavCU.jpg</t>
  </si>
  <si>
    <t>https://t.co/XJlQ5rwEci https://pbs.twimg.com/ext_tw_video_thumb/1637162484359626752/pu/img/l-DgrkAAIlbOdrXF.jpg</t>
  </si>
  <si>
    <t>https://t.co/7HYC3Cu7QX https://pbs.twimg.com/ext_tw_video_thumb/1625616038581641234/pu/img/gQUKwD8fdupUm8Jq.jpg</t>
  </si>
  <si>
    <t>https://t.co/5PPurVJWCd https://pbs.twimg.com/media/FtmBiXHWIAERWdM.jpg</t>
  </si>
  <si>
    <t>https://t.co/zi1VlRYzkK https://pbs.twimg.com/media/Fm18-z_X0AAP3f5.jpg</t>
  </si>
  <si>
    <t>https://t.co/YF7TaBam4P https://pbs.twimg.com/media/FuGAJ8dWABEqIwf.jpg</t>
  </si>
  <si>
    <t>https://t.co/ep5Hqgk39Z https://pbs.twimg.com/media/FvrOSJRWwAAgBJK.jpg</t>
  </si>
  <si>
    <t>https://t.co/fZh8hNTsiw https://pbs.twimg.com/media/FvFayYDXgAEhVJ-.jpg</t>
  </si>
  <si>
    <t>https://t.co/1R2NxMzjCZ https://pbs.twimg.com/ext_tw_video_thumb/1704933593934364672/pu/img/OtqCE1q2DJeZ58mh.jpg</t>
  </si>
  <si>
    <t>https://t.co/pLnEEXMA5S https://pbs.twimg.com/media/F4uBbTOX0AEcu9Q.jpg</t>
  </si>
  <si>
    <t>https://t.co/Y511BxDs2B https://pbs.twimg.com/media/FsqZv6pWcAE-J1s.jpg</t>
  </si>
  <si>
    <t>https://t.co/EBXEnUJjAC https://pbs.twimg.com/media/F5st3IRbIAAq9J9.jpg</t>
  </si>
  <si>
    <t>https://t.co/o4qnOA6FLC https://pbs.twimg.com/ext_tw_video_thumb/1665083299654451200/pu/img/UnPkcFCI4NdIDXoM.jpg</t>
  </si>
  <si>
    <t>https://t.co/fLSQW6FPCU https://pbs.twimg.com/ext_tw_video_thumb/1638633810194579459/pu/img/KgfMyS3teV9FJyL7.jpg</t>
  </si>
  <si>
    <t>https://t.co/AAS2x6BtP8 https://pbs.twimg.com/media/FriFqTSXwAMlnPH.jpg</t>
  </si>
  <si>
    <t>https://t.co/qb1OnnTl5B https://pbs.twimg.com/media/FriCqawXsAEjegj.jpg</t>
  </si>
  <si>
    <t>https://t.co/x9Fu6YMqW1 https://pbs.twimg.com/media/FrXuBSdWAAE3yJt.jpg</t>
  </si>
  <si>
    <t>https://t.co/8yZUxqGBOw https://pbs.twimg.com/media/FrUK-ofWAAIovX1.jpg</t>
  </si>
  <si>
    <t>https://t.co/1ywkJC5ice https://pbs.twimg.com/media/FrUFKZgWcAEOFsg.jpg</t>
  </si>
  <si>
    <t>https://t.co/WFL08z8Vyi https://pbs.twimg.com/media/Fs8f318XsAA7_OY.jpg</t>
  </si>
  <si>
    <t>https://t.co/6VUJHmCwvW https://pbs.twimg.com/media/Fxdgpq0WYAItMgS.jpg</t>
  </si>
  <si>
    <t>https://t.co/41mj4Opme1 https://pbs.twimg.com/media/F2N3Y0WXMAAZDB1.jpg</t>
  </si>
  <si>
    <t>https://t.co/xGJSktGDGH https://pbs.twimg.com/ext_tw_video_thumb/1645927532384997376/pu/img/Tq_7hroOi8t_7xHU.jpg</t>
  </si>
  <si>
    <t>https://t.co/axyMOYsZQX https://pbs.twimg.com/media/F0VkOgKaIAImVAH.jpg</t>
  </si>
  <si>
    <t>https://t.co/4xRVjx2NFT https://pbs.twimg.com/media/F00ZYDdaEAAUf_L.jpg</t>
  </si>
  <si>
    <t>https://t.co/VOAaDZ0WqB https://pbs.twimg.com/media/FzdZo6saQAE9cQl.jpg</t>
  </si>
  <si>
    <t>https://t.co/bX2WVDpFJt https://pbs.twimg.com/media/Fs9PecOWYAIqDpt.jpg</t>
  </si>
  <si>
    <t>https://t.co/guy8cbWlXi https://pbs.twimg.com/ext_tw_video_thumb/1649974800192876544/pu/img/adlmPkfFq6RVugHX.jpg</t>
  </si>
  <si>
    <t>https://t.co/oAYp25D97W https://pbs.twimg.com/media/Fsn4g-LXwAANUu0.jpg</t>
  </si>
  <si>
    <t>https://t.co/93yAcgAtic https://pbs.twimg.com/media/Fz85_TOaUAEwlp4.jpg</t>
  </si>
  <si>
    <t>https://t.co/JF0v57p4rG https://pbs.twimg.com/ext_tw_video_thumb/1668257031961075712/pu/img/AFqDn6bATY0wXObT.jpg</t>
  </si>
  <si>
    <t>https://t.co/dlIvPSdHch https://pbs.twimg.com/ext_tw_video_thumb/1661725228966244352/pu/img/nr3mRzvbXo0WZx8W.jpg</t>
  </si>
  <si>
    <t>https://t.co/Fc9lPTHvwN https://pbs.twimg.com/ext_tw_video_thumb/1700205626838708224/pu/img/rvbrGKrAhaYDVijm.jpg</t>
  </si>
  <si>
    <t>https://t.co/zfjLwEEZ62 https://pbs.twimg.com/ext_tw_video_thumb/1700194040484909056/pu/img/CQ-BUec_A9pbmWhg.jpg</t>
  </si>
  <si>
    <t>https://t.co/CQ1h96vSDF https://pbs.twimg.com/ext_tw_video_thumb/1699841721398358016/pu/img/79QXM7JqHpWogI5O.jpg</t>
  </si>
  <si>
    <t>https://t.co/5hLriqYZeB https://pbs.twimg.com/ext_tw_video_thumb/1699816785191534592/pu/img/lQO0IRVuojcYE-OF.jpg</t>
  </si>
  <si>
    <t>https://t.co/7COP2ogsfH https://pbs.twimg.com/ext_tw_video_thumb/1699463984988987392/pu/img/G4RDAN97UFRkVy7i.jpg</t>
  </si>
  <si>
    <t>https://t.co/JlXi92n4H2 https://pbs.twimg.com/ext_tw_video_thumb/1704901113915297792/pu/img/4FQ7LqUV2W9jgimO.jpg</t>
  </si>
  <si>
    <t>https://t.co/DsUqc6Hr0m https://pbs.twimg.com/ext_tw_video_thumb/1703835041770491904/pu/img/q0-ZN1Zvt4gnmfSy.jpg</t>
  </si>
  <si>
    <t>https://t.co/j6WExMnFLj https://pbs.twimg.com/ext_tw_video_thumb/1704921952408715264/pu/img/AymQ4hH_oreHhECz.jpg</t>
  </si>
  <si>
    <t>https://t.co/S2eS7P7kc3 https://pbs.twimg.com/ext_tw_video_thumb/1703818932266643456/pu/img/bIBh63Ev5pKlHCpX.jpg</t>
  </si>
  <si>
    <t>https://t.co/MAp7HHOUsj https://pbs.twimg.com/ext_tw_video_thumb/1699453685636415488/pu/img/zBjxo_oR39zV88ML.jpg</t>
  </si>
  <si>
    <t>https://t.co/IRe4v12b96 https://pbs.twimg.com/ext_tw_video_thumb/1699122480923709440/pu/img/Jiia-2fFwX6DpltE.jpg</t>
  </si>
  <si>
    <t>https://t.co/FUfYQ7TQ61 https://pbs.twimg.com/ext_tw_video_thumb/1613056164056424449/pu/img/MekmxwL_2oN-Tteg.jpg</t>
  </si>
  <si>
    <t>https://t.co/YRruwaJ2kw https://pbs.twimg.com/media/F5wN38vXUAAZMOq.jpg</t>
  </si>
  <si>
    <t>https://t.co/QIVUemvUal https://pbs.twimg.com/ext_tw_video_thumb/1637040153632858113/pu/img/9hZ5zSb-yBOb8BIk.jpg</t>
  </si>
  <si>
    <t>https://t.co/8kkpdZeNpu https://pbs.twimg.com/ext_tw_video_thumb/1614575761624629249/pu/img/KeRmoxn5SVsa7TdS.jpg</t>
  </si>
  <si>
    <t>https://t.co/IC7PJ3pnph https://pbs.twimg.com/ext_tw_video_thumb/1657755084468502529/pu/img/jeKWU_0a7HWRCNTY.jpg</t>
  </si>
  <si>
    <t>https://t.co/QL9A4TWo3r https://pbs.twimg.com/media/Fn4huoFaYAIKkoB.jpg</t>
  </si>
  <si>
    <t>https://t.co/VEgbhXy2RX https://pbs.twimg.com/media/F2Ra8HkXYAA6hIJ.jpg</t>
  </si>
  <si>
    <t>https://t.co/XQH4eYyXQt https://pbs.twimg.com/ext_tw_video_thumb/1611321845877178368/pu/img/iGk5wfwSAIOAhw_p.jpg</t>
  </si>
  <si>
    <t>https://t.co/NHRhhGAU4n https://pbs.twimg.com/ext_tw_video_thumb/1609870604915597313/pu/img/WLjJpiFoe0zM4kJo.jpg</t>
  </si>
  <si>
    <t>https://t.co/gRoOB4il3T https://pbs.twimg.com/ext_tw_video_thumb/1701638190535176192/pu/img/hZDx2gOo8AoMGxVi.jpg</t>
  </si>
  <si>
    <t>https://t.co/EDoRhdvERJ https://pbs.twimg.com/ext_tw_video_thumb/1701637370515267584/pu/img/zGyFFT0KxAeFr6Ww.jpg</t>
  </si>
  <si>
    <t>https://t.co/KWuq2eY0ow https://pbs.twimg.com/ext_tw_video_thumb/1688864586919809024/pu/img/33DRLmmeTsj7BD-i.jpg</t>
  </si>
  <si>
    <t>https://t.co/XzcvdZ7SEj https://pbs.twimg.com/ext_tw_video_thumb/1690875065653399553/pu/img/EonWWqAuELXhs0r_.jpg</t>
  </si>
  <si>
    <t>https://t.co/eRTbJn7O2m https://pbs.twimg.com/ext_tw_video_thumb/1626333657936928770/pu/img/GEJWBMtDa3NapQ0y.jpg</t>
  </si>
  <si>
    <t>https://t.co/vJeUVqfyIW https://pbs.twimg.com/media/FqSxJmnaYAAlcau.jpg</t>
  </si>
  <si>
    <t>https://t.co/lA5qIinCn6 https://pbs.twimg.com/ext_tw_video_thumb/1701200319529574401/pu/img/JDsNiV5Aghc8e9XD.jpg</t>
  </si>
  <si>
    <t>https://t.co/bQ20ShlPfA https://pbs.twimg.com/ext_tw_video_thumb/1678547284785602563/pu/img/bD1tfJidCNdtZBjb.jpg</t>
  </si>
  <si>
    <t>https://t.co/xNK5jrY8T5 https://pbs.twimg.com/tweet_video_thumb/FrXmpsWWIAg0dwU.jpg</t>
  </si>
  <si>
    <t>https://t.co/5fcnB2eDrt https://pbs.twimg.com/tweet_video_thumb/FrW8FsRWwAoewDG.jpg</t>
  </si>
  <si>
    <t>https://t.co/zCz6SRoycY https://pbs.twimg.com/tweet_video_thumb/FrW8FYzWwBIbYiN.jpg</t>
  </si>
  <si>
    <t>https://t.co/0KyCctnrtZ https://pbs.twimg.com/ext_tw_video_thumb/1687669682868793344/pu/img/thFCqnIdMvNoghn4.jpg</t>
  </si>
  <si>
    <t>https://t.co/5k7LF6Bz9K https://pbs.twimg.com/media/FsPfyqBXwBIT23n.jpg</t>
  </si>
  <si>
    <t>https://t.co/Vna9iLSfb4 https://pbs.twimg.com/media/FmuLhx2XoAAMT-5.jpg</t>
  </si>
  <si>
    <t>https://t.co/cDLqnr6gg9 https://pbs.twimg.com/media/FsZH8kYWcAAvMh9.jpg</t>
  </si>
  <si>
    <t>https://t.co/n7gJEAjnEF https://pbs.twimg.com/ext_tw_video_thumb/1611753181536555008/pu/img/-iP7sy7d4hJ4IKvC.jpg</t>
  </si>
  <si>
    <t>https://t.co/erAiTtdGCT https://pbs.twimg.com/ext_tw_video_thumb/1647578448888573954/pu/img/QZLj7XtUtfsWZP2t.jpg</t>
  </si>
  <si>
    <t>https://t.co/gNKp6sSVmj https://pbs.twimg.com/ext_tw_video_thumb/1647262165240369153/pu/img/BnZeK_YHhURoWzur.jpg</t>
  </si>
  <si>
    <t>https://t.co/aGRfCr25w0 https://pbs.twimg.com/media/FyiL_YbXoAAQ010.jpg</t>
  </si>
  <si>
    <t>https://t.co/hJDw9JMBxe https://pbs.twimg.com/media/F2jkzEeWAAA8Bmt.jpg</t>
  </si>
  <si>
    <t>https://t.co/kKZ0SIAXb2 https://pbs.twimg.com/ext_tw_video_thumb/1630964720717922305/pu/img/lVFbO9j3l_JvEORM.jpg</t>
  </si>
  <si>
    <t>https://t.co/5xd9TThet0 https://pbs.twimg.com/ext_tw_video_thumb/1640364267462352896/pu/img/7K_1wnCdd6VJPZpr.jpg</t>
  </si>
  <si>
    <t>https://t.co/Im7dsGMTtb https://pbs.twimg.com/media/F2niPtzW4AEJxQe.jpg</t>
  </si>
  <si>
    <t>https://t.co/UxaU6GTq8y https://pbs.twimg.com/media/FxUWQLdWwAgA2-u.jpg</t>
  </si>
  <si>
    <t>https://t.co/TKe6qtSiyl https://pbs.twimg.com/ext_tw_video_thumb/1633894517173567492/pu/img/xl4L4s9yS8V98gEc.jpg</t>
  </si>
  <si>
    <t>https://t.co/sIvdYgxfGJ https://pbs.twimg.com/ext_tw_video_thumb/1633239675522412544/pu/img/_UeumRQCoKAhMIxO.jpg</t>
  </si>
  <si>
    <t>https://t.co/yStTfVOapi https://pbs.twimg.com/ext_tw_video_thumb/1633555207278800899/pu/img/HpXLpdwZvyqomRHn.jpg</t>
  </si>
  <si>
    <t>https://t.co/5kjbVzDSYb https://pbs.twimg.com/ext_tw_video_thumb/1633555036419522561/pu/img/R0yBNobDAahtoQsp.jpg</t>
  </si>
  <si>
    <t>https://t.co/n8mNzOb2w8 https://pbs.twimg.com/media/F6Tq4PPXgAAmI_j.jpg</t>
  </si>
  <si>
    <t>https://t.co/CXxNJXnUhK https://pbs.twimg.com/media/FtLh21vWYAEi45V.jpg</t>
  </si>
  <si>
    <t>https://t.co/B6ZPjmG1lz https://pbs.twimg.com/ext_tw_video_thumb/1701659211258580992/pu/img/It1hpivwmUvGa2rX.jpg</t>
  </si>
  <si>
    <t>https://t.co/eLugnnJUte https://pbs.twimg.com/media/FnS3v5gWIAAhrmk.jpg</t>
  </si>
  <si>
    <t>https://t.co/dzR5av43XW https://pbs.twimg.com/ext_tw_video_thumb/1630637029158469650/pu/img/SH88QaO4d--Zfa6o.jpg</t>
  </si>
  <si>
    <t>https://t.co/HHyxsiwzA4 https://pbs.twimg.com/ext_tw_video_thumb/1681275611208118274/pu/img/e58peYV6skCc14F1.jpg</t>
  </si>
  <si>
    <t>https://t.co/sxnU2OeDhJ https://pbs.twimg.com/ext_tw_video_thumb/1684390267162427392/pu/img/nyQDhSVR2NcQJ86R.jpg</t>
  </si>
  <si>
    <t>https://t.co/MWFTIII6ag https://pbs.twimg.com/ext_tw_video_thumb/1672235606531878919/pu/img/5_t4WLtfAv9f0yda.jpg</t>
  </si>
  <si>
    <t>https://t.co/iVegNFM4wh https://pbs.twimg.com/ext_tw_video_thumb/1694380103109599233/pu/img/wTStuQ9xW5Q5DTEa.jpg</t>
  </si>
  <si>
    <t>https://t.co/8tjvJQfbVT https://pbs.twimg.com/ext_tw_video_thumb/1694379063228399616/pu/img/b7noxmGJOV-8K3sM.jpg</t>
  </si>
  <si>
    <t>https://t.co/EJcIFdmqjG https://pbs.twimg.com/ext_tw_video_thumb/1688233888856846336/pu/img/iZTLS8manPiJaTza.jpg</t>
  </si>
  <si>
    <t>https://t.co/2rMl9jPxWF https://pbs.twimg.com/ext_tw_video_thumb/1696916370045255680/pu/img/rD_L6uzxIitPmJqD.jpg</t>
  </si>
  <si>
    <t>https://t.co/GugDI5UlY5 https://pbs.twimg.com/ext_tw_video_thumb/1616040827523940357/pu/img/2ZYL3Ddvt8xl6AFb.jpg</t>
  </si>
  <si>
    <t>https://t.co/CGjGlsGDpq https://pbs.twimg.com/media/FxUgUvVWwAEWP7B.jpg</t>
  </si>
  <si>
    <t>https://t.co/zH0X9TVSyp https://pbs.twimg.com/ext_tw_video_thumb/1628415722039742468/pu/img/uh88DKFlg4i4I9kM.jpg</t>
  </si>
  <si>
    <t>https://t.co/L67uhKwpNT https://pbs.twimg.com/ext_tw_video_thumb/1701700049472823296/pu/img/JL3PBu4RKMbzNuAn.jpg</t>
  </si>
  <si>
    <t>https://t.co/lXEO9joOaE https://pbs.twimg.com/ext_tw_video_thumb/1703067439863316480/pu/img/734x3LL6veNRv9rT.jpg</t>
  </si>
  <si>
    <t>https://t.co/XkS4J5HNSJ https://pbs.twimg.com/ext_tw_video_thumb/1703756436176588800/pu/img/N6I5pr3gWO0yG2-L.jpg</t>
  </si>
  <si>
    <t>https://t.co/fAxPnAOqq7 https://pbs.twimg.com/ext_tw_video_thumb/1634315589673009157/pu/img/TXjJWWYY2Q8yylFp.jpg</t>
  </si>
  <si>
    <t>https://t.co/WRsGsizpfc https://pbs.twimg.com/media/Fvyid0fWIAAKI9v.jpg</t>
  </si>
  <si>
    <t>https://t.co/UYtGbKcl19 https://pbs.twimg.com/ext_tw_video_thumb/1668951450976768000/pu/img/c3zv41cDxIFBD5st.jpg</t>
  </si>
  <si>
    <t>https://t.co/6KuAttillk https://pbs.twimg.com/ext_tw_video_thumb/1657351978853318657/pu/img/ZDCJvU894wfjE4qD.jpg</t>
  </si>
  <si>
    <t>https://t.co/w8rW8U3Fxg https://pbs.twimg.com/ext_tw_video_thumb/1686032409949573120/pu/img/axggnafqLb45j2_n.jpg</t>
  </si>
  <si>
    <t>https://t.co/l5IfRuBW7Z https://pbs.twimg.com/ext_tw_video_thumb/1657398285131186180/pu/img/Bw1TMlWK2_W1uYR0.jpg</t>
  </si>
  <si>
    <t>https://t.co/OJtuU8MQBu https://pbs.twimg.com/ext_tw_video_thumb/1692924811335405568/pu/img/WlM0Dp69FLFSU25g.jpg</t>
  </si>
  <si>
    <t>https://t.co/gYusBXKcG7 https://pbs.twimg.com/ext_tw_video_thumb/1692658803378929664/pu/img/aqI8LW-M51teEZMe.jpg</t>
  </si>
  <si>
    <t>https://t.co/q44LClvYtg https://pbs.twimg.com/ext_tw_video_thumb/1692505265344565248/pu/img/8dbE4dxJZkYkpLyb.jpg</t>
  </si>
  <si>
    <t>https://t.co/ZYXmQ2ilzT https://pbs.twimg.com/ext_tw_video_thumb/1697606368658612224/pu/img/fkJ9D9GhGzK9XJjJ.jpg</t>
  </si>
  <si>
    <t>https://t.co/irM0H9nl5d https://pbs.twimg.com/ext_tw_video_thumb/1691083641982455810/pu/img/yy7Cr7CPREbp3DoF.jpg</t>
  </si>
  <si>
    <t>https://t.co/O4suAn5ids https://pbs.twimg.com/ext_tw_video_thumb/1704129798300401664/pu/img/lPVSECTJ5Ug3PZMV.jpg</t>
  </si>
  <si>
    <t>https://t.co/9yoydv9ncj https://pbs.twimg.com/ext_tw_video_thumb/1697977318587686912/pu/img/PKETTNUIpLTxJZph.jpg</t>
  </si>
  <si>
    <t>https://t.co/5Bhw62If2n https://pbs.twimg.com/ext_tw_video_thumb/1697629334171766784/pu/img/N5VfXcOwh4NimBA1.jpg</t>
  </si>
  <si>
    <t>https://t.co/BSSGlfgbPO https://pbs.twimg.com/ext_tw_video_thumb/1691823377634205697/pu/img/iclr6FS6nS9Sbtqa.jpg</t>
  </si>
  <si>
    <t>https://t.co/2KdebAYs7z https://pbs.twimg.com/ext_tw_video_thumb/1691595663803355138/pu/img/dqQWNmSv8qKPMa9n.jpg</t>
  </si>
  <si>
    <t>https://t.co/0Gv8SkgH1J https://pbs.twimg.com/ext_tw_video_thumb/1691421204274446336/pu/img/x4P6PMitZQvE8bAK.jpg</t>
  </si>
  <si>
    <t>https://t.co/jN3eO2wSPV https://pbs.twimg.com/ext_tw_video_thumb/1690015190203383808/pu/img/IA9_3K6-Yr0deK2_.jpg</t>
  </si>
  <si>
    <t>https://t.co/4l2VfPStCf https://pbs.twimg.com/ext_tw_video_thumb/1689989478381649920/pu/img/cII1DHrPS3cgDCH-.jpg</t>
  </si>
  <si>
    <t>https://t.co/0FYy1s37ew https://pbs.twimg.com/ext_tw_video_thumb/1704628722043654144/pu/img/WqHzJ8d-nUMX6ZJl.jpg</t>
  </si>
  <si>
    <t>https://t.co/kCewvSRDQW https://pbs.twimg.com/ext_tw_video_thumb/1704483541810085888/pu/img/pDAj_wwN2REMaDKu.jpg</t>
  </si>
  <si>
    <t>https://t.co/OlOVvgLskD https://pbs.twimg.com/ext_tw_video_thumb/1698696155394129920/pu/img/WrRMR-UhydkhCFn7.jpg</t>
  </si>
  <si>
    <t>https://t.co/BZP60wulI3 https://pbs.twimg.com/ext_tw_video_thumb/1692153497431547904/pu/img/uMM2LE-q3F035tRo.jpg</t>
  </si>
  <si>
    <t>https://t.co/H2EkcorAKy https://pbs.twimg.com/ext_tw_video_thumb/1687120447417065473/pu/img/2rInVKXuSZfqoSTV.jpg</t>
  </si>
  <si>
    <t>https://t.co/Ks39pYHKQD https://pbs.twimg.com/ext_tw_video_thumb/1686772902736117760/pu/img/yW-JK3jbCkOT8vmS.jpg</t>
  </si>
  <si>
    <t>https://t.co/trN3EIf1O1 https://pbs.twimg.com/ext_tw_video_thumb/1662472348098854913/pu/img/YuESnoyLMq-Ex3JC.jpg</t>
  </si>
  <si>
    <t>https://t.co/QK4eokXM7f https://pbs.twimg.com/media/F1oaLMBWAAUMOqg.jpg</t>
  </si>
  <si>
    <t>https://t.co/0KldG1fWoZ https://pbs.twimg.com/ext_tw_video_thumb/1674425795568365571/pu/img/21huInSRuskL0MUl.jpg</t>
  </si>
  <si>
    <t>https://t.co/Tlab7p9UFd https://pbs.twimg.com/media/FwVLKl5WIAI_qNC.jpg</t>
  </si>
  <si>
    <t>https://t.co/Lv9cb4lxht https://pbs.twimg.com/media/F02t_rxWAA8-pUt.jpg</t>
  </si>
  <si>
    <t>https://t.co/w9ks0kk0M3 https://pbs.twimg.com/media/F0x-tGyXgAIK027.jpg</t>
  </si>
  <si>
    <t>https://t.co/jDrYeFRHXJ https://pbs.twimg.com/media/F0x-l-eXsAAFJeE.jpg</t>
  </si>
  <si>
    <t>https://t.co/aft5FPjxkt https://pbs.twimg.com/ext_tw_video_thumb/1678855701823647744/pu/img/HMZc_1ot7TcS3qZj.jpg</t>
  </si>
  <si>
    <t>https://t.co/PFSIstIPIG https://pbs.twimg.com/amplify_video_thumb/1687143470266294286/img/JYgtz6zwKTUwR998.jpg</t>
  </si>
  <si>
    <t>https://t.co/MFl0SCBqqu https://pbs.twimg.com/ext_tw_video_thumb/1633217769503174656/pu/img/kkZdePlSylguh-gB.jpg</t>
  </si>
  <si>
    <t>https://t.co/PR4frJi5cs https://pbs.twimg.com/media/Fq8vopCXsAEJuZ7.jpg</t>
  </si>
  <si>
    <t>https://t.co/tr7XSWgzXn https://pbs.twimg.com/media/Fqzz0fGWYAQYTpb.jpg</t>
  </si>
  <si>
    <t>https://t.co/E9okdORKjb https://pbs.twimg.com/ext_tw_video_thumb/1637222184539107335/pu/img/TVAGRcLccjfhTKs5.jpg</t>
  </si>
  <si>
    <t>https://t.co/B5EqZjQKmJ https://pbs.twimg.com/ext_tw_video_thumb/1682168984316043264/pu/img/xK07CF52LCkK2ESX.jpg</t>
  </si>
  <si>
    <t>https://t.co/Hpa8wjNZXQ https://pbs.twimg.com/media/FwMsI4ZWIAQ1xcN.jpg</t>
  </si>
  <si>
    <t>https://t.co/pQHL5Qc57z https://pbs.twimg.com/media/FoessyrWcAALL44.jpg</t>
  </si>
  <si>
    <t>https://t.co/acF6EtZBi1 https://pbs.twimg.com/media/F3rtLuwWoAASXIJ.jpg</t>
  </si>
  <si>
    <t>https://t.co/8r7FQalB6z https://pbs.twimg.com/media/F4ZTcJsXsAAfmdi.jpg</t>
  </si>
  <si>
    <t>https://t.co/xFS3POcvg9 https://pbs.twimg.com/media/F2KMX0DWgAANoCe.jpg</t>
  </si>
  <si>
    <t>https://t.co/rPqOT0XI3C https://pbs.twimg.com/media/F5Jn4b_WQAArhDo.jpg</t>
  </si>
  <si>
    <t>https://t.co/fZaizPFn7N https://pbs.twimg.com/media/FpeDe68XgAA8NN5.jpg</t>
  </si>
  <si>
    <t>https://t.co/6xBckQcNgv https://pbs.twimg.com/ext_tw_video_thumb/1647761053034348545/pu/img/0ROyZZlS-lX81urF.jpg</t>
  </si>
  <si>
    <t>https://t.co/GgbwqMM2kl https://pbs.twimg.com/ext_tw_video_thumb/1612480570025545730/pu/img/g83Ok-xYixk77SDz.jpg</t>
  </si>
  <si>
    <t>https://t.co/BqcbjPud6c https://pbs.twimg.com/media/FzV0lRoX0AIY7BT.jpg</t>
  </si>
  <si>
    <t>https://t.co/WogI8mDRDT https://pbs.twimg.com/media/Fqs6XQvaAAMaCxx.jpg</t>
  </si>
  <si>
    <t>https://t.co/r8U6z0CJpr https://pbs.twimg.com/media/FnfxTw5akAACIFA.jpg</t>
  </si>
  <si>
    <t>https://t.co/CONOeSvryt https://pbs.twimg.com/media/F6d0iuzWQAA36Xx.jpg</t>
  </si>
  <si>
    <t>https://t.co/HxjKcPUnY2 https://pbs.twimg.com/media/F6jH_XmWwAApOe0.jpg</t>
  </si>
  <si>
    <t>https://t.co/fiN2zsbLn2 https://pbs.twimg.com/media/F6pwptjX0AAMYKw.jpg</t>
  </si>
  <si>
    <t>https://t.co/3kNExSx9eZ https://pbs.twimg.com/ext_tw_video_thumb/1611124609658589197/pu/img/Lqmzf5BE_W-9E3MI.jpg</t>
  </si>
  <si>
    <t>https://t.co/Gi0T3z5KEz https://pbs.twimg.com/ext_tw_video_thumb/1615538044970455040/pu/img/sC8pO7-pdKRsBzJ2.jpg</t>
  </si>
  <si>
    <t>https://t.co/WqBe6dj7ue https://pbs.twimg.com/ext_tw_video_thumb/1616541185434157088/pu/img/XGH5aFB9Z3oDoDgO.jpg</t>
  </si>
  <si>
    <t>https://t.co/RpTYIRFwID https://pbs.twimg.com/ext_tw_video_thumb/1654184308976898051/pu/img/Acg5wbe6WyMZkG1d.jpg</t>
  </si>
  <si>
    <t>https://t.co/U4MMEEKy9F https://pbs.twimg.com/ext_tw_video_thumb/1649518586824728580/pu/img/mWA5Nppyys6XcjnI.jpg</t>
  </si>
  <si>
    <t>https://t.co/45rdHObdQa https://pbs.twimg.com/ext_tw_video_thumb/1649110905748062218/pu/img/Zr9v0OkedDZP7zCG.jpg</t>
  </si>
  <si>
    <t>https://t.co/3X10DS9ySZ https://pbs.twimg.com/ext_tw_video_thumb/1648023712954810368/pu/img/kJjLmkTN9neYntCd.jpg</t>
  </si>
  <si>
    <t>https://t.co/Rg5CnEdxYI https://pbs.twimg.com/media/Fojbd8zWcAQrhW0.jpg</t>
  </si>
  <si>
    <t>https://t.co/na0nLbKxh4 https://pbs.twimg.com/ext_tw_video_thumb/1675565167877279744/pu/img/ivcnROSUT1XETQio.jpg</t>
  </si>
  <si>
    <t>https://t.co/RywgyU1yHI https://pbs.twimg.com/ext_tw_video_thumb/1675474592050102274/pu/img/jQMRj01J3IB9DaNz.jpg</t>
  </si>
  <si>
    <t>https://t.co/bKcSuXoHFF https://pbs.twimg.com/ext_tw_video_thumb/1675217887957512193/pu/img/kcG9EO-zKohY4sgu.jpg</t>
  </si>
  <si>
    <t>https://t.co/FdWzfGwo52 https://pbs.twimg.com/ext_tw_video_thumb/1674749821230407680/pu/img/U9lNIxKdZ_W2hmSp.jpg</t>
  </si>
  <si>
    <t>https://t.co/l9CAUhkM3q https://pbs.twimg.com/ext_tw_video_thumb/1674462915707928576/pu/img/eh1iXtBijUdYXH4u.jpg</t>
  </si>
  <si>
    <t>https://t.co/RcElFo2eyi https://pbs.twimg.com/ext_tw_video_thumb/1674372341575438336/pu/img/9jD5u_J0lFtmC-8t.jpg</t>
  </si>
  <si>
    <t>https://t.co/pjkGX8aOHX https://pbs.twimg.com/ext_tw_video_thumb/1674145832189214720/pu/img/2PyKNx7MhWUYWSpT.jpg</t>
  </si>
  <si>
    <t>https://t.co/MbBmCTFjNa https://pbs.twimg.com/ext_tw_video_thumb/1674115610668683275/pu/img/MwcKutOh2w5UibPo.jpg</t>
  </si>
  <si>
    <t>https://t.co/SKDrlr8bvw https://pbs.twimg.com/media/Fp6-c2FXwAEJaBe.jpg</t>
  </si>
  <si>
    <t>https://t.co/ESrIgYyssk https://pbs.twimg.com/ext_tw_video_thumb/1673707936277831682/pu/img/Yq7Z5Ft0HlKUDk4s.jpg</t>
  </si>
  <si>
    <t>https://t.co/T0o30nPLij https://pbs.twimg.com/ext_tw_video_thumb/1673677740841607172/pu/img/hJA_uWErEvAHvhKM.jpg</t>
  </si>
  <si>
    <t>https://t.co/vdECnOz8tc https://pbs.twimg.com/ext_tw_video_thumb/1673451312636125185/pu/img/vX8WzZi138XAUE2M.jpg</t>
  </si>
  <si>
    <t>https://t.co/HPd0jShRfp https://pbs.twimg.com/ext_tw_video_thumb/1673421102184296457/pu/img/FKkO6qveh10Lg5xr.jpg</t>
  </si>
  <si>
    <t>https://t.co/t1Wa1P0aKL https://pbs.twimg.com/ext_tw_video_thumb/1673390860904308766/pu/img/13A4JeCZzOIzCiHP.jpg</t>
  </si>
  <si>
    <t>https://t.co/DNN5RLooEw https://pbs.twimg.com/ext_tw_video_thumb/1673360660183359489/pu/img/tIrMttgNbzSGlpxL.jpg</t>
  </si>
  <si>
    <t>https://t.co/upWtWOGH4Q https://pbs.twimg.com/ext_tw_video_thumb/1673330472179453954/pu/img/8FqKClYUFVzMr87J.jpg</t>
  </si>
  <si>
    <t>https://t.co/QpxccABxXd https://pbs.twimg.com/ext_tw_video_thumb/1673300261362708482/pu/img/zWB-_moqc9WSWUoK.jpg</t>
  </si>
  <si>
    <t>https://t.co/fSSDLl0XDb https://pbs.twimg.com/ext_tw_video_thumb/1673073768242053124/pu/img/Yh8SyPYEeyfmYZBw.jpg</t>
  </si>
  <si>
    <t>https://t.co/0WW0j3Z3TR https://pbs.twimg.com/ext_tw_video_thumb/1673043534721474560/pu/img/4ff8b7cl65Mp7kf2.jpg</t>
  </si>
  <si>
    <t>https://t.co/foSXGsSOia https://pbs.twimg.com/ext_tw_video_thumb/1673013286680363013/pu/img/ScKjqcvIgQkH9e8r.jpg</t>
  </si>
  <si>
    <t>https://t.co/vOpAiFA2We https://pbs.twimg.com/ext_tw_video_thumb/1672983176216551425/pu/img/TuxdPFairf6CQDVd.jpg</t>
  </si>
  <si>
    <t>https://t.co/uTEw9sGUeC https://pbs.twimg.com/ext_tw_video_thumb/1672952989605142539/pu/img/wepS9MmnSFTYw3og.jpg</t>
  </si>
  <si>
    <t>https://t.co/MSxc0XukWa https://pbs.twimg.com/ext_tw_video_thumb/1672922781669810178/pu/img/rV1uK8iVRzKh-TbB.jpg</t>
  </si>
  <si>
    <t>https://t.co/JJ7quKZ8OI https://pbs.twimg.com/ext_tw_video_thumb/1672575456413974528/pu/img/C12kv4FudRHMF_tn.jpg</t>
  </si>
  <si>
    <t>https://t.co/U3WpwJBTcK https://pbs.twimg.com/ext_tw_video_thumb/1652734773092032513/pu/img/eeuC-_nOjyGoR4dC.jpg</t>
  </si>
  <si>
    <t>https://t.co/L99JggNgmL https://pbs.twimg.com/ext_tw_video_thumb/1652010002314346502/pu/img/wnnoMERieLdLMTDq.jpg</t>
  </si>
  <si>
    <t>https://t.co/j5itusENPv https://pbs.twimg.com/ext_tw_video_thumb/1651647610640277527/pu/img/LTy4rWoOUXL1-ayr.jpg</t>
  </si>
  <si>
    <t>https://t.co/qzqhmwVYbM https://pbs.twimg.com/ext_tw_video_thumb/1675127287082041345/pu/img/GL6xMLrcfaUkck6e.jpg</t>
  </si>
  <si>
    <t>https://t.co/3TJnhBU2hl https://pbs.twimg.com/ext_tw_video_thumb/1674840414862360578/pu/img/u1Bb99pKtVsw3fIG.jpg</t>
  </si>
  <si>
    <t>https://t.co/TgMzxAwQOt https://pbs.twimg.com/ext_tw_video_thumb/1674085421096005634/pu/img/nqRoO9GJTg62R23L.jpg</t>
  </si>
  <si>
    <t>https://t.co/AfIW9U0JWk https://pbs.twimg.com/ext_tw_video_thumb/1674055249055690753/pu/img/gDTgytdL4_MReIQs.jpg</t>
  </si>
  <si>
    <t>https://t.co/O3NTWszN3q https://pbs.twimg.com/ext_tw_video_thumb/1674025031695843331/pu/img/_xW3K7nwr40fnII-.jpg</t>
  </si>
  <si>
    <t>https://t.co/OnGkPCOF1w https://pbs.twimg.com/ext_tw_video_thumb/1673828727703085057/pu/img/9fhyL2gfrEHwIyGp.jpg</t>
  </si>
  <si>
    <t>https://t.co/iRrxyVt64S https://pbs.twimg.com/ext_tw_video_thumb/1673798579318652928/pu/img/1MBkQHj_opFFIAxu.jpg</t>
  </si>
  <si>
    <t>https://t.co/hf93swpIAH https://pbs.twimg.com/ext_tw_video_thumb/1673768325422129157/pu/img/EDkv3299ETykZF6s.jpg</t>
  </si>
  <si>
    <t>https://t.co/VhICixkQSG https://pbs.twimg.com/ext_tw_video_thumb/1673738117499568132/pu/img/15X56XxIjkDmIDwZ.jpg</t>
  </si>
  <si>
    <t>https://t.co/LDVyIBk9vX https://pbs.twimg.com/media/FxV65PzWwAIihm5.jpg</t>
  </si>
  <si>
    <t>https://t.co/Qyz2lSJXd9 https://pbs.twimg.com/media/F1feAv1XwAIRBG7.png</t>
  </si>
  <si>
    <t>https://t.co/9QkJXXa35n https://pbs.twimg.com/media/F0wBZXeWYAEc1QC.jpg</t>
  </si>
  <si>
    <t>https://t.co/eWY9afmO9n https://pbs.twimg.com/media/FtequA8XoAE-L7V.jpg</t>
  </si>
  <si>
    <t>https://t.co/E2ZMx1tfXy https://pbs.twimg.com/media/FonZCiLXEAAHbdx.jpg</t>
  </si>
  <si>
    <t>https://t.co/bNbOcUxv0x https://pbs.twimg.com/ext_tw_video_thumb/1678106759435632641/pu/img/vnDpfX8pbhxjkZ2j.jpg</t>
  </si>
  <si>
    <t>https://t.co/mHY7OOMJU2 https://pbs.twimg.com/ext_tw_video_thumb/1663727824358744066/pu/img/aHtApMdS2g1wDYsW.jpg</t>
  </si>
  <si>
    <t>https://t.co/x1dUbjvvzr https://pbs.twimg.com/media/F5bc7CxawAARX5F.jpg</t>
  </si>
  <si>
    <t>https://t.co/zxQgxR4hH7 https://pbs.twimg.com/ext_tw_video_thumb/1686804843355164672/pu/img/tTCAwXSPgA1r4E_Q.jpg</t>
  </si>
  <si>
    <t>https://t.co/4ELbkc0FKk https://pbs.twimg.com/ext_tw_video_thumb/1686802726720598022/pu/img/GQzEQXwAZBMJqZGh.jpg</t>
  </si>
  <si>
    <t>https://t.co/eUg5j7TXXF https://pbs.twimg.com/ext_tw_video_thumb/1686801776903680006/pu/img/7m6rqKcZxR11KU2Q.jpg</t>
  </si>
  <si>
    <t>https://t.co/LyEjm4a6jU https://pbs.twimg.com/media/Fvo0nlOWcAEmg6b.jpg</t>
  </si>
  <si>
    <t>https://t.co/1sPJNm3tSo https://pbs.twimg.com/ext_tw_video_thumb/1637062060600066051/pu/img/3TLhRiQXd56XwOnq.jpg</t>
  </si>
  <si>
    <t>https://t.co/K4Xrj1MigG https://pbs.twimg.com/media/FmxYm8RWAAsMVfL.jpg</t>
  </si>
  <si>
    <t>https://t.co/S4iutjloYr https://pbs.twimg.com/ext_tw_video_thumb/1699141598557192193/pu/img/hirBC5DBsAOCV-HL.jpg</t>
  </si>
  <si>
    <t>https://t.co/wOPlLsh0sj https://pbs.twimg.com/media/FoUSzjgXwAEMCMg.jpg</t>
  </si>
  <si>
    <t>https://t.co/t7aQkca4wg https://pbs.twimg.com/ext_tw_video_thumb/1689333199459991553/pu/img/oq_82XnsHoE3o7ML.jpg</t>
  </si>
  <si>
    <t>https://t.co/V6PYQEbHHd https://pbs.twimg.com/ext_tw_video_thumb/1689029363751141376/pu/img/kztSKsvfYcJacRxn.jpg</t>
  </si>
  <si>
    <t>https://t.co/Xp1fuZbDVo https://pbs.twimg.com/ext_tw_video_thumb/1690168519130828801/pu/img/HeNQV2hi_6qTL_ql.jpg</t>
  </si>
  <si>
    <t>https://t.co/AlfiY2zQwt https://pbs.twimg.com/ext_tw_video_thumb/1690076494339448832/pu/img/h-eQ0rmDxkxwX-Al.jpg</t>
  </si>
  <si>
    <t>https://t.co/bbQ0DnmKuH https://pbs.twimg.com/ext_tw_video_thumb/1690809842095607808/pu/img/iyEx8wLr-q3U0b9a.jpg</t>
  </si>
  <si>
    <t>https://t.co/ipshbdn9lZ https://pbs.twimg.com/ext_tw_video_thumb/1690507093298610176/pu/img/vxZN55Vfpejme_B9.jpg</t>
  </si>
  <si>
    <t>https://t.co/E84pfYa5Rb https://pbs.twimg.com/ext_tw_video_thumb/1691233079627571202/pu/img/KyPRseYRHFb_7qks.jpg</t>
  </si>
  <si>
    <t>https://t.co/WePOrOxNJ6 https://pbs.twimg.com/ext_tw_video_thumb/1688433567062204416/pu/img/MjxAG55Lns4bMG2g.jpg</t>
  </si>
  <si>
    <t>https://t.co/CCMabDgciF https://pbs.twimg.com/media/Fwl1DWraYAA8jPE.jpg</t>
  </si>
  <si>
    <t>https://t.co/6hu9U4lVmF https://pbs.twimg.com/ext_tw_video_thumb/1623107146677121027/pu/img/0bHtmLqtIqFItbZx.jpg</t>
  </si>
  <si>
    <t>https://t.co/7lqoOp3qP5 https://t.co/7lqoOp3qP5 https://t.co/7lqoOp3qP5 https://t.co/7lqoOp3qP5 https://pbs.twimg.com/media/FuDMAnPWIAA-N3j.jpg https://pbs.twimg.com/media/FuDMAnSXgAATSPU.jpg https://pbs.twimg.com/media/FuDMAnQWYAEHxMg.jpg https://pbs.twimg.com/media/FuDMAnOWIAER831.jpg</t>
  </si>
  <si>
    <t>https://t.co/EdaMKGNUht https://pbs.twimg.com/tweet_video_thumb/FvW4_TkWcAA25r-.jpg</t>
  </si>
  <si>
    <t>https://t.co/OwIumqArXd https://pbs.twimg.com/media/FyfsKNaaYAAppwW.jpg</t>
  </si>
  <si>
    <t>https://t.co/KMHGSiBNTW https://pbs.twimg.com/media/F4FDYUBW8AArwz_.jpg</t>
  </si>
  <si>
    <t>https://t.co/bwstj0JYyS https://t.co/bwstj0JYyS https://t.co/bwstj0JYyS https://pbs.twimg.com/media/FqLwpZ-XgAAP1hs.jpg https://pbs.twimg.com/media/FqLwpZ9XsAA6u0U.jpg https://pbs.twimg.com/media/FqLwpZ-XwAEOOBY.jpg</t>
  </si>
  <si>
    <t>https://t.co/ugjWYQn9aP https://pbs.twimg.com/media/FnRW9J6WAAA3fJx.jpg</t>
  </si>
  <si>
    <t>https://t.co/oWD7PgbqWa https://pbs.twimg.com/media/Fm2qeA3WAA4tqF1.jpg</t>
  </si>
  <si>
    <t>https://t.co/AHCz3byOlB https://pbs.twimg.com/media/FpaozERWYAIeNQe.jpg</t>
  </si>
  <si>
    <t>https://t.co/21w8E9DGCr https://pbs.twimg.com/media/Fpaoh99XsAE4B6T.jpg</t>
  </si>
  <si>
    <t>https://t.co/cHP3omi4am https://pbs.twimg.com/media/FpaoNS8WcAIrs3r.jpg</t>
  </si>
  <si>
    <t>https://t.co/OhuTyTpkgP https://t.co/OhuTyTpkgP https://t.co/OhuTyTpkgP https://pbs.twimg.com/media/Fmyh1PWXoAE_q_2.jpg https://pbs.twimg.com/media/Fmyh1fbX0AA8McU.jpg https://pbs.twimg.com/media/Fmyh1vcWIAM6rVP.jpg</t>
  </si>
  <si>
    <t>https://t.co/KZiQ36oP6i https://pbs.twimg.com/media/FsMZq80X0AEXy7q.jpg</t>
  </si>
  <si>
    <t>https://t.co/4SwY5Rj15p https://pbs.twimg.com/media/FsMYsHhWIAAa8Dz.jpg</t>
  </si>
  <si>
    <t>https://t.co/KExOHwZVBR https://pbs.twimg.com/ext_tw_video_thumb/1698880117248856064/pu/img/34SOjx6GycW-wrpL.jpg</t>
  </si>
  <si>
    <t>https://t.co/xW7nYyP67D https://pbs.twimg.com/media/F5scGcVbsAECr_x.jpg</t>
  </si>
  <si>
    <t>https://t.co/HslgCVAbsW https://pbs.twimg.com/media/Ft_zldyWIAMa9aX.jpg</t>
  </si>
  <si>
    <t>https://t.co/RKcg6R3zfY https://pbs.twimg.com/media/Ft1hig0X0AM0LNp.jpg</t>
  </si>
  <si>
    <t>https://t.co/pPn1k5slGi https://pbs.twimg.com/media/FtWM-0DXwAApR8K.jpg</t>
  </si>
  <si>
    <t>https://t.co/cYEOwNVoZF https://pbs.twimg.com/media/F08eJV2WwAAJn6-.jpg</t>
  </si>
  <si>
    <t>https://t.co/NqBvWc0oR3 https://pbs.twimg.com/media/Fx8gF-3acAQPSCC.jpg</t>
  </si>
  <si>
    <t>https://t.co/8ZKZUSiILB https://pbs.twimg.com/ext_tw_video_thumb/1690891525784272896/pu/img/X3st52eM_Sr299_q.jpg</t>
  </si>
  <si>
    <t>https://t.co/2D3ImCBsBI https://pbs.twimg.com/ext_tw_video_thumb/1657004234540236800/pu/img/r0GGej9pgLIFjOiU.jpg</t>
  </si>
  <si>
    <t>https://t.co/n6R7Fx9RWH https://pbs.twimg.com/ext_tw_video_thumb/1690808938432790528/pu/img/9cgrZfqygJRlDbJ9.jpg</t>
  </si>
  <si>
    <t>https://t.co/R455EoAIcb https://pbs.twimg.com/ext_tw_video_thumb/1695859220103483392/pu/img/d-02hNa3GpzgWwDn.jpg</t>
  </si>
  <si>
    <t>https://t.co/SYCSLnemBs https://pbs.twimg.com/ext_tw_video_thumb/1695118338328838144/pu/img/g1YsWgsmGtf2vagJ.jpg</t>
  </si>
  <si>
    <t>https://t.co/c4hoyhPj87 https://pbs.twimg.com/media/F6d5FN9XoAAGUYU.png</t>
  </si>
  <si>
    <t>https://t.co/JSI5KFFnUl https://pbs.twimg.com/media/FujJuppXgAArkY-.jpg</t>
  </si>
  <si>
    <t>https://t.co/RbHdsqwPO1 https://pbs.twimg.com/media/Fqm0Te7XwAAYbuT.jpg</t>
  </si>
  <si>
    <t>https://t.co/SxVX9aCO7R https://pbs.twimg.com/media/F0cL3JQWYAQh1B7.jpg</t>
  </si>
  <si>
    <t>https://t.co/TGoUc9JsWT https://pbs.twimg.com/media/FwUyjdmXsAIHEIy.png</t>
  </si>
  <si>
    <t>https://t.co/JYznz4Cs9T https://pbs.twimg.com/media/F1j5pB0WAAEaQxr.jpg</t>
  </si>
  <si>
    <t>https://t.co/GD95Eh94Kf https://t.co/GD95Eh94Kf https://t.co/GD95Eh94Kf https://t.co/GD95Eh94Kf https://pbs.twimg.com/media/FyqYPwYXoAEDbkc.jpg https://pbs.twimg.com/media/FyqYPvkWcAAr3A4.jpg https://pbs.twimg.com/media/FyqYPwZXwAAghrF.jpg https://pbs.twimg.com/media/FyqYPvcWIAMoiLP.jpg</t>
  </si>
  <si>
    <t>https://t.co/Nrvdas3Eox https://t.co/Nrvdas3Eox https://t.co/Nrvdas3Eox https://t.co/Nrvdas3Eox https://pbs.twimg.com/media/FxslJ5EXgAAkTXv.jpg https://pbs.twimg.com/media/FxslJ5eWcAAnm-L.jpg https://pbs.twimg.com/media/FxslJ5dWYAE7jI1.jpg https://pbs.twimg.com/media/FxslJ4zWwAI4-py.jpg</t>
  </si>
  <si>
    <t>https://t.co/HhaXhs965c https://pbs.twimg.com/media/Fp0F4HvWwAAgG8q.jpg</t>
  </si>
  <si>
    <t>https://t.co/KTm3pdqQ3u https://pbs.twimg.com/ext_tw_video_thumb/1645507419726905353/pu/img/ebHOE619r32CStoP.jpg</t>
  </si>
  <si>
    <t>https://t.co/OpyboQF0pm https://pbs.twimg.com/media/Fy_aeslWcAcH3Zy.jpg</t>
  </si>
  <si>
    <t>https://t.co/aAK1JhZo72 https://pbs.twimg.com/media/F3vgAUCWIAAiFH7.jpg</t>
  </si>
  <si>
    <t>https://t.co/CYY5DgK4P8 https://pbs.twimg.com/media/F02okcBWIAAG9Qw.jpg</t>
  </si>
  <si>
    <t>https://t.co/2UUpejmCqp https://pbs.twimg.com/media/Fw5aNZTWAAAow3s.jpg</t>
  </si>
  <si>
    <t>https://t.co/HoKecBorCf https://pbs.twimg.com/media/F44doVaXQAAZ6EI.jpg</t>
  </si>
  <si>
    <t>https://t.co/of4IUdsHGb https://pbs.twimg.com/media/F4ySfR4W4AE-bKf.jpg</t>
  </si>
  <si>
    <t>https://t.co/EyRxhGnl8I https://pbs.twimg.com/media/FqjHeSBXoAAroqR.jpg</t>
  </si>
  <si>
    <t>https://t.co/UYLns9cfJq https://pbs.twimg.com/media/F6kydk0XMAASmZk.jpg</t>
  </si>
  <si>
    <t>https://t.co/80DQnywFS7 https://pbs.twimg.com/media/F6UyTMuboAARwke.jpg</t>
  </si>
  <si>
    <t>https://t.co/JcinQOfKdF https://pbs.twimg.com/ext_tw_video_thumb/1645963910535688192/pu/img/XCxDhDFtjG96XMA9.jpg</t>
  </si>
  <si>
    <t>https://t.co/dzfk5AJwP7 https://t.co/dzfk5AJwP7 https://t.co/dzfk5AJwP7 https://pbs.twimg.com/media/FwJoPYFXoAEVDf1.jpg https://pbs.twimg.com/media/FwJoPlwWYAMBD7V.jpg https://pbs.twimg.com/media/FwJoP1AWIAErrDr.jpg</t>
  </si>
  <si>
    <t>https://t.co/vVf3nEv0zy https://pbs.twimg.com/media/Fz9RI_NXgAAY62q.jpg</t>
  </si>
  <si>
    <t>https://t.co/F2QWqm4u3X https://pbs.twimg.com/ext_tw_video_thumb/1579567084069130251/pu/img/p_-rNi9HtOrp2902.jpg</t>
  </si>
  <si>
    <t>https://t.co/sXOAyIgDPu https://pbs.twimg.com/media/FqTyBrtWAAYLHIu.png</t>
  </si>
  <si>
    <t>https://t.co/RNtCjgrkgB https://pbs.twimg.com/media/E24Di2hWQAQjh-q.jpg</t>
  </si>
  <si>
    <t>https://t.co/cNnXqiE0LH https://pbs.twimg.com/media/E24II5NXEAQ7i12.jpg</t>
  </si>
  <si>
    <t>https://t.co/0j62vGBT6x https://pbs.twimg.com/media/E8D2JqZXMAc3fSM.png</t>
  </si>
  <si>
    <t>https://t.co/iVYbvtPesd https://pbs.twimg.com/media/FqpStVEWcAIMno0.jpg</t>
  </si>
  <si>
    <t>https://t.co/nHgJMCh5O6 https://pbs.twimg.com/media/FocoCW4WcAEftxQ.jpg</t>
  </si>
  <si>
    <t>https://t.co/t0AYRut3Ks https://pbs.twimg.com/media/F5svIHTb0AAhr1l.jpg</t>
  </si>
  <si>
    <t>https://t.co/BC2miUkCly https://t.co/BC2miUkCly https://t.co/BC2miUkCly https://pbs.twimg.com/media/F3DBrF_X0AAeuHJ.png https://pbs.twimg.com/media/F3DBrGBWoAA2sPk.jpg https://pbs.twimg.com/media/F3DBrF8XsAAn2y_.jpg</t>
  </si>
  <si>
    <t>https://t.co/47UxrMGQiK https://pbs.twimg.com/ext_tw_video_thumb/1697614102573490176/pu/img/DdsRG702fAMN3iyJ.jpg</t>
  </si>
  <si>
    <t>https://t.co/ltpHCoycnb https://pbs.twimg.com/media/F0z3GWlWwAEx-kT.png</t>
  </si>
  <si>
    <t>https://t.co/4ykJpq6fSL https://pbs.twimg.com/media/FmVvlpeXEAEFD1X.jpg</t>
  </si>
  <si>
    <t>https://t.co/JUj9vhf8zg https://pbs.twimg.com/media/Fs5vrp-XwAI5tOq.jpg</t>
  </si>
  <si>
    <t>https://t.co/8qbCfx7esY https://pbs.twimg.com/media/F1sK2xXXgAA9XMd.jpg</t>
  </si>
  <si>
    <t>https://t.co/hPor681GMl https://pbs.twimg.com/media/F1sAacGX0AEMn_0.jpg</t>
  </si>
  <si>
    <t>https://t.co/7YFqSThSSl https://pbs.twimg.com/media/F12Sl3wXwAAjRBP.jpg</t>
  </si>
  <si>
    <t>https://t.co/kc7C1BZbl8 https://pbs.twimg.com/media/F1r2rZ6X0AA6I_b.jpg</t>
  </si>
  <si>
    <t>https://t.co/rpfHUr4NYV https://pbs.twimg.com/media/FmW1b0HWQAI5iCk.jpg</t>
  </si>
  <si>
    <t>https://t.co/tqZnp9D1aL https://pbs.twimg.com/ext_tw_video_thumb/1613244604895358976/pu/img/uy6iMaUE1hBQBLCc.jpg</t>
  </si>
  <si>
    <t>https://t.co/X9w0CQO5iz https://pbs.twimg.com/ext_tw_video_thumb/1647223726541291526/pu/img/pYN23xPZW2L3Whw7.jpg</t>
  </si>
  <si>
    <t>https://t.co/EPHIYpuHJo https://pbs.twimg.com/ext_tw_video_thumb/1668829641300230144/pu/img/KPKbcSt2I07P5njy.jpg</t>
  </si>
  <si>
    <t>https://t.co/rulRpzrQat https://pbs.twimg.com/ext_tw_video_thumb/1668747238305038346/pu/img/WGug1C6ysM-aw8Jl.jpg</t>
  </si>
  <si>
    <t>https://t.co/Rzy5KYVNQk https://pbs.twimg.com/ext_tw_video_thumb/1682169595598188544/pu/img/5qR5tBslMCPga1wy.jpg</t>
  </si>
  <si>
    <t>https://t.co/CrHSfD65On https://pbs.twimg.com/ext_tw_video_thumb/1616283251970031616/pu/img/xUJLioaOBFsbErm3.jpg</t>
  </si>
  <si>
    <t>https://t.co/UR93Oud0AM https://pbs.twimg.com/ext_tw_video_thumb/1655281073226383360/pu/img/jS7cfKXgDb0_QqSa.jpg</t>
  </si>
  <si>
    <t>https://t.co/TraHWmvTKX https://pbs.twimg.com/media/Fp73RU8WIAAFaHo.png</t>
  </si>
  <si>
    <t>https://t.co/WpQpRwyeYi https://pbs.twimg.com/media/FyatxvQWIAA-W3U.jpg</t>
  </si>
  <si>
    <t>https://t.co/6OtaOVbeb4 https://pbs.twimg.com/media/F0t2x-IWYAArkil.jpg</t>
  </si>
  <si>
    <t>https://t.co/0eMMtFOPt9 https://pbs.twimg.com/ext_tw_video_thumb/1690510204662624256/pu/img/gjD0iFfi1jpWmPNe.jpg</t>
  </si>
  <si>
    <t>https://t.co/mDoRaHpkB8 https://pbs.twimg.com/ext_tw_video_thumb/1690202931675418625/pu/img/pOniaThmpaOq2tHB.jpg</t>
  </si>
  <si>
    <t>https://t.co/iGvFZSsuA2 https://pbs.twimg.com/ext_tw_video_thumb/1690051730132606984/pu/img/hn3HULPMuwJntVnG.jpg</t>
  </si>
  <si>
    <t>https://t.co/dy83uIydFP https://pbs.twimg.com/ext_tw_video_thumb/1690001254179618818/pu/img/5httkdGeng-SH9SR.jpg</t>
  </si>
  <si>
    <t>https://t.co/n6bthKIfZG https://pbs.twimg.com/ext_tw_video_thumb/1616646907312439300/pu/img/7QZ8oBW1RHv1Rrjn.jpg</t>
  </si>
  <si>
    <t>video</t>
  </si>
  <si>
    <t>photo</t>
  </si>
  <si>
    <t>photo photo photo photo</t>
  </si>
  <si>
    <t>photo photo photo</t>
  </si>
  <si>
    <t>animated_gif</t>
  </si>
  <si>
    <t>photo photo</t>
  </si>
  <si>
    <t>Twitter for Android</t>
  </si>
  <si>
    <t>Twitter for iPhone</t>
  </si>
  <si>
    <t>mLabs - Gestão de Redes Sociais</t>
  </si>
  <si>
    <t>Twitter Web App</t>
  </si>
  <si>
    <t>Instagram</t>
  </si>
  <si>
    <t>Aqua Invest</t>
  </si>
  <si>
    <t>Bolsa Inteligente - Auto Post</t>
  </si>
  <si>
    <t>giovani</t>
  </si>
  <si>
    <t>IFTTT</t>
  </si>
  <si>
    <t>Metricool</t>
  </si>
  <si>
    <t>Canva</t>
  </si>
  <si>
    <t>Agorapulse app</t>
  </si>
  <si>
    <t>Swonkie App</t>
  </si>
  <si>
    <t>Etus Brasil</t>
  </si>
  <si>
    <t>Buffer</t>
  </si>
  <si>
    <t>Sprout Social</t>
  </si>
  <si>
    <t>Hootsuite Inc.</t>
  </si>
  <si>
    <t>Multibrain.me</t>
  </si>
  <si>
    <t>ThreadStart.io</t>
  </si>
  <si>
    <t>TweetDeck Web App</t>
  </si>
  <si>
    <t>Zapier.com</t>
  </si>
  <si>
    <t>Adobe Express</t>
  </si>
  <si>
    <t>Repurpose io</t>
  </si>
  <si>
    <t>erased24995540_QC9LnJfFh8</t>
  </si>
  <si>
    <t>Revive Social App</t>
  </si>
  <si>
    <t>AncapGPT</t>
  </si>
  <si>
    <t>erased21529778_5J6CwNKpyF</t>
  </si>
  <si>
    <t>Twitter for Mac</t>
  </si>
  <si>
    <t>Jetpack.com</t>
  </si>
  <si>
    <t>Periscope</t>
  </si>
  <si>
    <t>SG-2 (Corporate)</t>
  </si>
  <si>
    <t>GIP SG 01 a App</t>
  </si>
  <si>
    <t>und</t>
  </si>
  <si>
    <t>pt</t>
  </si>
  <si>
    <t>qme</t>
  </si>
  <si>
    <t>en</t>
  </si>
  <si>
    <t>es</t>
  </si>
  <si>
    <t>qht</t>
  </si>
  <si>
    <t>ca</t>
  </si>
  <si>
    <t>tl</t>
  </si>
  <si>
    <t>lv</t>
  </si>
  <si>
    <t>ta</t>
  </si>
  <si>
    <t>de</t>
  </si>
  <si>
    <t>ht</t>
  </si>
  <si>
    <t>da</t>
  </si>
  <si>
    <t>03:45:47</t>
  </si>
  <si>
    <t>18:36:41</t>
  </si>
  <si>
    <t>02:30:24</t>
  </si>
  <si>
    <t>11:00:44</t>
  </si>
  <si>
    <t>10:55:00</t>
  </si>
  <si>
    <t>10:45:00</t>
  </si>
  <si>
    <t>21:08:17</t>
  </si>
  <si>
    <t>02:16:04</t>
  </si>
  <si>
    <t>14:56:52</t>
  </si>
  <si>
    <t>18:09:31</t>
  </si>
  <si>
    <t>14:08:38</t>
  </si>
  <si>
    <t>13:20:37</t>
  </si>
  <si>
    <t>15:06:28</t>
  </si>
  <si>
    <t>18:15:24</t>
  </si>
  <si>
    <t>17:04:28</t>
  </si>
  <si>
    <t>00:50:48</t>
  </si>
  <si>
    <t>21:00:37</t>
  </si>
  <si>
    <t>23:42:22</t>
  </si>
  <si>
    <t>21:32:12</t>
  </si>
  <si>
    <t>09:00:02</t>
  </si>
  <si>
    <t>01:53:10</t>
  </si>
  <si>
    <t>00:18:29</t>
  </si>
  <si>
    <t>11:00:02</t>
  </si>
  <si>
    <t>11:00:01</t>
  </si>
  <si>
    <t>11:30:00</t>
  </si>
  <si>
    <t>19:11:58</t>
  </si>
  <si>
    <t>22:02:45</t>
  </si>
  <si>
    <t>13:21:43</t>
  </si>
  <si>
    <t>07:46:33</t>
  </si>
  <si>
    <t>11:02:00</t>
  </si>
  <si>
    <t>14:25:07</t>
  </si>
  <si>
    <t>16:26:23</t>
  </si>
  <si>
    <t>19:14:27</t>
  </si>
  <si>
    <t>22:00:20</t>
  </si>
  <si>
    <t>17:27:35</t>
  </si>
  <si>
    <t>18:06:54</t>
  </si>
  <si>
    <t>19:08:44</t>
  </si>
  <si>
    <t>16:07:24</t>
  </si>
  <si>
    <t>17:56:29</t>
  </si>
  <si>
    <t>23:11:17</t>
  </si>
  <si>
    <t>15:23:39</t>
  </si>
  <si>
    <t>18:41:36</t>
  </si>
  <si>
    <t>23:05:46</t>
  </si>
  <si>
    <t>14:17:28</t>
  </si>
  <si>
    <t>17:25:07</t>
  </si>
  <si>
    <t>18:26:58</t>
  </si>
  <si>
    <t>15:30:34</t>
  </si>
  <si>
    <t>12:56:01</t>
  </si>
  <si>
    <t>14:30:00</t>
  </si>
  <si>
    <t>14:34:07</t>
  </si>
  <si>
    <t>11:53:23</t>
  </si>
  <si>
    <t>12:53:53</t>
  </si>
  <si>
    <t>12:00:01</t>
  </si>
  <si>
    <t>12:00:00</t>
  </si>
  <si>
    <t>15:39:19</t>
  </si>
  <si>
    <t>14:56:48</t>
  </si>
  <si>
    <t>13:14:44</t>
  </si>
  <si>
    <t>02:00:52</t>
  </si>
  <si>
    <t>18:01:07</t>
  </si>
  <si>
    <t>20:02:09</t>
  </si>
  <si>
    <t>04:37:25</t>
  </si>
  <si>
    <t>21:09:24</t>
  </si>
  <si>
    <t>14:24:16</t>
  </si>
  <si>
    <t>15:35:06</t>
  </si>
  <si>
    <t>18:02:59</t>
  </si>
  <si>
    <t>09:25:00</t>
  </si>
  <si>
    <t>17:45:53</t>
  </si>
  <si>
    <t>16:22:03</t>
  </si>
  <si>
    <t>00:06:50</t>
  </si>
  <si>
    <t>00:05:37</t>
  </si>
  <si>
    <t>04:13:05</t>
  </si>
  <si>
    <t>10:42:00</t>
  </si>
  <si>
    <t>18:36:59</t>
  </si>
  <si>
    <t>23:08:58</t>
  </si>
  <si>
    <t>11:52:45</t>
  </si>
  <si>
    <t>20:10:10</t>
  </si>
  <si>
    <t>14:33:01</t>
  </si>
  <si>
    <t>11:20:08</t>
  </si>
  <si>
    <t>00:32:56</t>
  </si>
  <si>
    <t>12:31:23</t>
  </si>
  <si>
    <t>15:29:40</t>
  </si>
  <si>
    <t>16:44:11</t>
  </si>
  <si>
    <t>14:27:45</t>
  </si>
  <si>
    <t>00:04:59</t>
  </si>
  <si>
    <t>18:44:09</t>
  </si>
  <si>
    <t>14:29:27</t>
  </si>
  <si>
    <t>12:00:44</t>
  </si>
  <si>
    <t>15:44:38</t>
  </si>
  <si>
    <t>15:46:17</t>
  </si>
  <si>
    <t>00:08:16</t>
  </si>
  <si>
    <t>15:06:23</t>
  </si>
  <si>
    <t>20:51:30</t>
  </si>
  <si>
    <t>17:10:07</t>
  </si>
  <si>
    <t>11:02:47</t>
  </si>
  <si>
    <t>11:02:44</t>
  </si>
  <si>
    <t>15:10:15</t>
  </si>
  <si>
    <t>15:01:16</t>
  </si>
  <si>
    <t>14:13:17</t>
  </si>
  <si>
    <t>18:53:58</t>
  </si>
  <si>
    <t>22:33:58</t>
  </si>
  <si>
    <t>02:33:41</t>
  </si>
  <si>
    <t>23:02:19</t>
  </si>
  <si>
    <t>23:27:27</t>
  </si>
  <si>
    <t>02:25:15</t>
  </si>
  <si>
    <t>17:25:20</t>
  </si>
  <si>
    <t>20:23:54</t>
  </si>
  <si>
    <t>19:29:53</t>
  </si>
  <si>
    <t>18:28:50</t>
  </si>
  <si>
    <t>21:34:35</t>
  </si>
  <si>
    <t>23:08:34</t>
  </si>
  <si>
    <t>23:13:42</t>
  </si>
  <si>
    <t>22:46:06</t>
  </si>
  <si>
    <t>22:18:25</t>
  </si>
  <si>
    <t>22:49:30</t>
  </si>
  <si>
    <t>21:55:44</t>
  </si>
  <si>
    <t>23:40:17</t>
  </si>
  <si>
    <t>02:19:21</t>
  </si>
  <si>
    <t>20:12:41</t>
  </si>
  <si>
    <t>16:22:25</t>
  </si>
  <si>
    <t>01:39:24</t>
  </si>
  <si>
    <t>20:42:44</t>
  </si>
  <si>
    <t>00:13:00</t>
  </si>
  <si>
    <t>23:58:59</t>
  </si>
  <si>
    <t>00:03:11</t>
  </si>
  <si>
    <t>00:20:41</t>
  </si>
  <si>
    <t>23:14:26</t>
  </si>
  <si>
    <t>02:08:31</t>
  </si>
  <si>
    <t>21:57:03</t>
  </si>
  <si>
    <t>19:05:53</t>
  </si>
  <si>
    <t>22:47:16</t>
  </si>
  <si>
    <t>16:58:33</t>
  </si>
  <si>
    <t>17:44:54</t>
  </si>
  <si>
    <t>22:37:21</t>
  </si>
  <si>
    <t>22:43:01</t>
  </si>
  <si>
    <t>22:49:53</t>
  </si>
  <si>
    <t>22:09:56</t>
  </si>
  <si>
    <t>17:45:26</t>
  </si>
  <si>
    <t>19:02:43</t>
  </si>
  <si>
    <t>19:40:52</t>
  </si>
  <si>
    <t>23:05:28</t>
  </si>
  <si>
    <t>23:10:06</t>
  </si>
  <si>
    <t>23:45:03</t>
  </si>
  <si>
    <t>00:32:13</t>
  </si>
  <si>
    <t>01:35:16</t>
  </si>
  <si>
    <t>18:33:48</t>
  </si>
  <si>
    <t>01:35:21</t>
  </si>
  <si>
    <t>18:08:16</t>
  </si>
  <si>
    <t>00:41:00</t>
  </si>
  <si>
    <t>16:41:55</t>
  </si>
  <si>
    <t>00:51:58</t>
  </si>
  <si>
    <t>18:37:24</t>
  </si>
  <si>
    <t>23:29:34</t>
  </si>
  <si>
    <t>02:06:03</t>
  </si>
  <si>
    <t>22:38:07</t>
  </si>
  <si>
    <t>00:51:16</t>
  </si>
  <si>
    <t>22:23:57</t>
  </si>
  <si>
    <t>22:15:08</t>
  </si>
  <si>
    <t>02:18:54</t>
  </si>
  <si>
    <t>02:41:17</t>
  </si>
  <si>
    <t>15:40:29</t>
  </si>
  <si>
    <t>22:10:48</t>
  </si>
  <si>
    <t>16:58:46</t>
  </si>
  <si>
    <t>22:38:11</t>
  </si>
  <si>
    <t>03:12:50</t>
  </si>
  <si>
    <t>22:48:46</t>
  </si>
  <si>
    <t>22:48:23</t>
  </si>
  <si>
    <t>23:10:12</t>
  </si>
  <si>
    <t>23:36:41</t>
  </si>
  <si>
    <t>22:57:05</t>
  </si>
  <si>
    <t>20:02:36</t>
  </si>
  <si>
    <t>01:24:55</t>
  </si>
  <si>
    <t>22:30:37</t>
  </si>
  <si>
    <t>22:09:54</t>
  </si>
  <si>
    <t>21:53:48</t>
  </si>
  <si>
    <t>22:00:04</t>
  </si>
  <si>
    <t>22:25:44</t>
  </si>
  <si>
    <t>18:31:56</t>
  </si>
  <si>
    <t>22:35:18</t>
  </si>
  <si>
    <t>22:34:51</t>
  </si>
  <si>
    <t>22:15:13</t>
  </si>
  <si>
    <t>23:47:53</t>
  </si>
  <si>
    <t>22:50:36</t>
  </si>
  <si>
    <t>22:34:01</t>
  </si>
  <si>
    <t>23:07:24</t>
  </si>
  <si>
    <t>00:54:20</t>
  </si>
  <si>
    <t>20:06:09</t>
  </si>
  <si>
    <t>19:05:38</t>
  </si>
  <si>
    <t>23:03:35</t>
  </si>
  <si>
    <t>00:00:26</t>
  </si>
  <si>
    <t>18:25:30</t>
  </si>
  <si>
    <t>23:32:51</t>
  </si>
  <si>
    <t>22:56:32</t>
  </si>
  <si>
    <t>23:37:48</t>
  </si>
  <si>
    <t>01:43:24</t>
  </si>
  <si>
    <t>21:24:41</t>
  </si>
  <si>
    <t>16:33:05</t>
  </si>
  <si>
    <t>22:38:22</t>
  </si>
  <si>
    <t>18:34:04</t>
  </si>
  <si>
    <t>00:11:31</t>
  </si>
  <si>
    <t>22:46:13</t>
  </si>
  <si>
    <t>23:20:11</t>
  </si>
  <si>
    <t>21:46:27</t>
  </si>
  <si>
    <t>21:56:22</t>
  </si>
  <si>
    <t>22:22:40</t>
  </si>
  <si>
    <t>22:20:35</t>
  </si>
  <si>
    <t>22:07:01</t>
  </si>
  <si>
    <t>21:48:26</t>
  </si>
  <si>
    <t>21:58:00</t>
  </si>
  <si>
    <t>17:39:51</t>
  </si>
  <si>
    <t>22:34:29</t>
  </si>
  <si>
    <t>22:09:28</t>
  </si>
  <si>
    <t>23:08:39</t>
  </si>
  <si>
    <t>18:19:00</t>
  </si>
  <si>
    <t>23:12:43</t>
  </si>
  <si>
    <t>02:10:20</t>
  </si>
  <si>
    <t>20:26:07</t>
  </si>
  <si>
    <t>23:24:11</t>
  </si>
  <si>
    <t>23:46:28</t>
  </si>
  <si>
    <t>23:28:05</t>
  </si>
  <si>
    <t>22:35:16</t>
  </si>
  <si>
    <t>22:12:12</t>
  </si>
  <si>
    <t>18:54:35</t>
  </si>
  <si>
    <t>00:45:46</t>
  </si>
  <si>
    <t>21:29:27</t>
  </si>
  <si>
    <t>16:31:20</t>
  </si>
  <si>
    <t>12:50:35</t>
  </si>
  <si>
    <t>20:03:43</t>
  </si>
  <si>
    <t>12:13:30</t>
  </si>
  <si>
    <t>22:57:17</t>
  </si>
  <si>
    <t>15:28:38</t>
  </si>
  <si>
    <t>16:16:37</t>
  </si>
  <si>
    <t>11:26:44</t>
  </si>
  <si>
    <t>04:03:28</t>
  </si>
  <si>
    <t>21:06:07</t>
  </si>
  <si>
    <t>18:40:22</t>
  </si>
  <si>
    <t>19:15:30</t>
  </si>
  <si>
    <t>18:10:02</t>
  </si>
  <si>
    <t>16:02:42</t>
  </si>
  <si>
    <t>19:00:57</t>
  </si>
  <si>
    <t>20:05:34</t>
  </si>
  <si>
    <t>22:40:09</t>
  </si>
  <si>
    <t>06:07:10</t>
  </si>
  <si>
    <t>14:16:16</t>
  </si>
  <si>
    <t>10:21:01</t>
  </si>
  <si>
    <t>21:02:05</t>
  </si>
  <si>
    <t>01:00:02</t>
  </si>
  <si>
    <t>18:13:42</t>
  </si>
  <si>
    <t>14:10:33</t>
  </si>
  <si>
    <t>23:32:46</t>
  </si>
  <si>
    <t>20:30:51</t>
  </si>
  <si>
    <t>12:39:46</t>
  </si>
  <si>
    <t>23:58:09</t>
  </si>
  <si>
    <t>05:53:05</t>
  </si>
  <si>
    <t>12:30:54</t>
  </si>
  <si>
    <t>16:30:16</t>
  </si>
  <si>
    <t>19:50:42</t>
  </si>
  <si>
    <t>15:38:38</t>
  </si>
  <si>
    <t>09:40:15</t>
  </si>
  <si>
    <t>12:13:31</t>
  </si>
  <si>
    <t>10:54:43</t>
  </si>
  <si>
    <t>11:08:16</t>
  </si>
  <si>
    <t>15:31:14</t>
  </si>
  <si>
    <t>12:25:23</t>
  </si>
  <si>
    <t>11:01:08</t>
  </si>
  <si>
    <t>21:09:12</t>
  </si>
  <si>
    <t>12:19:05</t>
  </si>
  <si>
    <t>13:00:37</t>
  </si>
  <si>
    <t>15:16:47</t>
  </si>
  <si>
    <t>16:01:43</t>
  </si>
  <si>
    <t>17:04:04</t>
  </si>
  <si>
    <t>00:14:31</t>
  </si>
  <si>
    <t>00:13:26</t>
  </si>
  <si>
    <t>00:11:53</t>
  </si>
  <si>
    <t>00:49:35</t>
  </si>
  <si>
    <t>20:59:36</t>
  </si>
  <si>
    <t>18:03:12</t>
  </si>
  <si>
    <t>03:09:48</t>
  </si>
  <si>
    <t>20:41:39</t>
  </si>
  <si>
    <t>14:28:15</t>
  </si>
  <si>
    <t>12:28:17</t>
  </si>
  <si>
    <t>07:21:31</t>
  </si>
  <si>
    <t>18:45:05</t>
  </si>
  <si>
    <t>22:01:02</t>
  </si>
  <si>
    <t>12:28:08</t>
  </si>
  <si>
    <t>19:27:45</t>
  </si>
  <si>
    <t>14:48:46</t>
  </si>
  <si>
    <t>17:26:27</t>
  </si>
  <si>
    <t>23:50:21</t>
  </si>
  <si>
    <t>09:09:49</t>
  </si>
  <si>
    <t>00:58:53</t>
  </si>
  <si>
    <t>19:00:28</t>
  </si>
  <si>
    <t>18:39:26</t>
  </si>
  <si>
    <t>11:55:26</t>
  </si>
  <si>
    <t>19:03:21</t>
  </si>
  <si>
    <t>22:33:12</t>
  </si>
  <si>
    <t>11:14:57</t>
  </si>
  <si>
    <t>12:10:05</t>
  </si>
  <si>
    <t>22:44:22</t>
  </si>
  <si>
    <t>19:49:50</t>
  </si>
  <si>
    <t>01:03:02</t>
  </si>
  <si>
    <t>20:08:57</t>
  </si>
  <si>
    <t>21:32:46</t>
  </si>
  <si>
    <t>21:19:41</t>
  </si>
  <si>
    <t>21:13:17</t>
  </si>
  <si>
    <t>04:41:19</t>
  </si>
  <si>
    <t>04:15:56</t>
  </si>
  <si>
    <t>10:54:26</t>
  </si>
  <si>
    <t>01:54:57</t>
  </si>
  <si>
    <t>16:06:49</t>
  </si>
  <si>
    <t>13:46:47</t>
  </si>
  <si>
    <t>16:10:41</t>
  </si>
  <si>
    <t>12:01:13</t>
  </si>
  <si>
    <t>23:11:30</t>
  </si>
  <si>
    <t>01:33:51</t>
  </si>
  <si>
    <t>16:54:19</t>
  </si>
  <si>
    <t>07:32:57</t>
  </si>
  <si>
    <t>07:16:52</t>
  </si>
  <si>
    <t>09:48:50</t>
  </si>
  <si>
    <t>14:19:01</t>
  </si>
  <si>
    <t>14:21:07</t>
  </si>
  <si>
    <t>03:14:11</t>
  </si>
  <si>
    <t>04:20:00</t>
  </si>
  <si>
    <t>00:22:20</t>
  </si>
  <si>
    <t>13:27:51</t>
  </si>
  <si>
    <t>11:34:29</t>
  </si>
  <si>
    <t>00:51:08</t>
  </si>
  <si>
    <t>00:41:13</t>
  </si>
  <si>
    <t>21:29:04</t>
  </si>
  <si>
    <t>17:19:04</t>
  </si>
  <si>
    <t>15:59:11</t>
  </si>
  <si>
    <t>12:37:11</t>
  </si>
  <si>
    <t>15:00:02</t>
  </si>
  <si>
    <t>23:44:04</t>
  </si>
  <si>
    <t>13:26:07</t>
  </si>
  <si>
    <t>17:53:19</t>
  </si>
  <si>
    <t>17:07:17</t>
  </si>
  <si>
    <t>17:47:22</t>
  </si>
  <si>
    <t>16:08:17</t>
  </si>
  <si>
    <t>16:46:23</t>
  </si>
  <si>
    <t>16:51:35</t>
  </si>
  <si>
    <t>18:15:29</t>
  </si>
  <si>
    <t>18:14:19</t>
  </si>
  <si>
    <t>17:11:18</t>
  </si>
  <si>
    <t>16:05:22</t>
  </si>
  <si>
    <t>18:09:22</t>
  </si>
  <si>
    <t>06:12:26</t>
  </si>
  <si>
    <t>15:00:00</t>
  </si>
  <si>
    <t>15:03:06</t>
  </si>
  <si>
    <t>02:48:50</t>
  </si>
  <si>
    <t>10:36:12</t>
  </si>
  <si>
    <t>10:50:43</t>
  </si>
  <si>
    <t>14:30:06</t>
  </si>
  <si>
    <t>23:25:24</t>
  </si>
  <si>
    <t>23:45:18</t>
  </si>
  <si>
    <t>13:04:16</t>
  </si>
  <si>
    <t>08:44:52</t>
  </si>
  <si>
    <t>11:20:59</t>
  </si>
  <si>
    <t>11:14:12</t>
  </si>
  <si>
    <t>16:47:18</t>
  </si>
  <si>
    <t>16:44:29</t>
  </si>
  <si>
    <t>10:48:04</t>
  </si>
  <si>
    <t>16:37:03</t>
  </si>
  <si>
    <t>23:56:59</t>
  </si>
  <si>
    <t>21:32:37</t>
  </si>
  <si>
    <t>10:46:08</t>
  </si>
  <si>
    <t>03:20:37</t>
  </si>
  <si>
    <t>00:58:13</t>
  </si>
  <si>
    <t>11:53:11</t>
  </si>
  <si>
    <t>11:45:45</t>
  </si>
  <si>
    <t>10:15:53</t>
  </si>
  <si>
    <t>23:31:02</t>
  </si>
  <si>
    <t>20:41:06</t>
  </si>
  <si>
    <t>17:35:15</t>
  </si>
  <si>
    <t>17:35:14</t>
  </si>
  <si>
    <t>17:35:13</t>
  </si>
  <si>
    <t>17:35:12</t>
  </si>
  <si>
    <t>17:35:11</t>
  </si>
  <si>
    <t>17:35:10</t>
  </si>
  <si>
    <t>10:27:06</t>
  </si>
  <si>
    <t>09:42:11</t>
  </si>
  <si>
    <t>03:39:49</t>
  </si>
  <si>
    <t>17:11:47</t>
  </si>
  <si>
    <t>02:39:49</t>
  </si>
  <si>
    <t>12:06:55</t>
  </si>
  <si>
    <t>22:56:56</t>
  </si>
  <si>
    <t>23:33:42</t>
  </si>
  <si>
    <t>23:28:19</t>
  </si>
  <si>
    <t>22:51:42</t>
  </si>
  <si>
    <t>14:01:53</t>
  </si>
  <si>
    <t>15:54:45</t>
  </si>
  <si>
    <t>12:32:44</t>
  </si>
  <si>
    <t>15:35:40</t>
  </si>
  <si>
    <t>21:50:19</t>
  </si>
  <si>
    <t>21:21:07</t>
  </si>
  <si>
    <t>16:15:37</t>
  </si>
  <si>
    <t>14:45:45</t>
  </si>
  <si>
    <t>15:49:51</t>
  </si>
  <si>
    <t>15:58:29</t>
  </si>
  <si>
    <t>19:04:50</t>
  </si>
  <si>
    <t>18:16:33</t>
  </si>
  <si>
    <t>22:54:32</t>
  </si>
  <si>
    <t>19:48:18</t>
  </si>
  <si>
    <t>19:47:45</t>
  </si>
  <si>
    <t>12:16:47</t>
  </si>
  <si>
    <t>08:58:06</t>
  </si>
  <si>
    <t>18:09:16</t>
  </si>
  <si>
    <t>23:21:28</t>
  </si>
  <si>
    <t>19:56:11</t>
  </si>
  <si>
    <t>16:00:02</t>
  </si>
  <si>
    <t>11:31:00</t>
  </si>
  <si>
    <t>22:01:00</t>
  </si>
  <si>
    <t>16:00:01</t>
  </si>
  <si>
    <t>22:22:00</t>
  </si>
  <si>
    <t>16:21:00</t>
  </si>
  <si>
    <t>12:19:00</t>
  </si>
  <si>
    <t>22:17:00</t>
  </si>
  <si>
    <t>11:43:00</t>
  </si>
  <si>
    <t>16:03:00</t>
  </si>
  <si>
    <t>11:55:00</t>
  </si>
  <si>
    <t>22:07:00</t>
  </si>
  <si>
    <t>16:02:00</t>
  </si>
  <si>
    <t>11:35:00</t>
  </si>
  <si>
    <t>22:04:00</t>
  </si>
  <si>
    <t>16:11:00</t>
  </si>
  <si>
    <t>12:10:00</t>
  </si>
  <si>
    <t>22:08:00</t>
  </si>
  <si>
    <t>16:07:00</t>
  </si>
  <si>
    <t>12:05:00</t>
  </si>
  <si>
    <t>22:03:00</t>
  </si>
  <si>
    <t>13:55:17</t>
  </si>
  <si>
    <t>16:15:00</t>
  </si>
  <si>
    <t>11:28:00</t>
  </si>
  <si>
    <t>22:00:02</t>
  </si>
  <si>
    <t>16:16:00</t>
  </si>
  <si>
    <t>12:14:00</t>
  </si>
  <si>
    <t>22:13:00</t>
  </si>
  <si>
    <t>05:34:54</t>
  </si>
  <si>
    <t>05:27:14</t>
  </si>
  <si>
    <t>18:39:41</t>
  </si>
  <si>
    <t>13:45:42</t>
  </si>
  <si>
    <t>12:12:11</t>
  </si>
  <si>
    <t>02:29:32</t>
  </si>
  <si>
    <t>13:30:21</t>
  </si>
  <si>
    <t>16:04:49</t>
  </si>
  <si>
    <t>16:00:35</t>
  </si>
  <si>
    <t>17:01:46</t>
  </si>
  <si>
    <t>16:02:52</t>
  </si>
  <si>
    <t>11:54:52</t>
  </si>
  <si>
    <t>11:20:00</t>
  </si>
  <si>
    <t>19:48:46</t>
  </si>
  <si>
    <t>16:04:59</t>
  </si>
  <si>
    <t>23:13:47</t>
  </si>
  <si>
    <t>13:25:55</t>
  </si>
  <si>
    <t>15:25:55</t>
  </si>
  <si>
    <t>21:23:39</t>
  </si>
  <si>
    <t>23:53:49</t>
  </si>
  <si>
    <t>20:51:28</t>
  </si>
  <si>
    <t>15:25:05</t>
  </si>
  <si>
    <t>13:02:51</t>
  </si>
  <si>
    <t>19:49:26</t>
  </si>
  <si>
    <t>01:53:15</t>
  </si>
  <si>
    <t>22:09:49</t>
  </si>
  <si>
    <t>21:38:38</t>
  </si>
  <si>
    <t>18:54:39</t>
  </si>
  <si>
    <t>18:20:18</t>
  </si>
  <si>
    <t>18:10:07</t>
  </si>
  <si>
    <t>18:03:18</t>
  </si>
  <si>
    <t>19:04:49</t>
  </si>
  <si>
    <t>17:39:10</t>
  </si>
  <si>
    <t>19:15:20</t>
  </si>
  <si>
    <t>00:39:49</t>
  </si>
  <si>
    <t>12:00:22</t>
  </si>
  <si>
    <t>11:48:08</t>
  </si>
  <si>
    <t>15:13:56</t>
  </si>
  <si>
    <t>14:52:07</t>
  </si>
  <si>
    <t>15:41:53</t>
  </si>
  <si>
    <t>22:05:09</t>
  </si>
  <si>
    <t>11:54:45</t>
  </si>
  <si>
    <t>13:44:45</t>
  </si>
  <si>
    <t>13:46:04</t>
  </si>
  <si>
    <t>13:46:40</t>
  </si>
  <si>
    <t>14:18:46</t>
  </si>
  <si>
    <t>15:16:21</t>
  </si>
  <si>
    <t>14:45:26</t>
  </si>
  <si>
    <t>23:40:20</t>
  </si>
  <si>
    <t>12:07:00</t>
  </si>
  <si>
    <t>15:00:16</t>
  </si>
  <si>
    <t>13:18:00</t>
  </si>
  <si>
    <t>22:49:14</t>
  </si>
  <si>
    <t>13:12:13</t>
  </si>
  <si>
    <t>13:55:14</t>
  </si>
  <si>
    <t>12:36:57</t>
  </si>
  <si>
    <t>15:17:42</t>
  </si>
  <si>
    <t>16:16:31</t>
  </si>
  <si>
    <t>14:54:44</t>
  </si>
  <si>
    <t>09:37:05</t>
  </si>
  <si>
    <t>15:34:11</t>
  </si>
  <si>
    <t>23:36:49</t>
  </si>
  <si>
    <t>00:10:06</t>
  </si>
  <si>
    <t>01:37:18</t>
  </si>
  <si>
    <t>14:35:08</t>
  </si>
  <si>
    <t>12:14:03</t>
  </si>
  <si>
    <t>13:44:59</t>
  </si>
  <si>
    <t>18:18:17</t>
  </si>
  <si>
    <t>12:10:42</t>
  </si>
  <si>
    <t>00:08:38</t>
  </si>
  <si>
    <t>11:50:52</t>
  </si>
  <si>
    <t>12:12:06</t>
  </si>
  <si>
    <t>11:40:05</t>
  </si>
  <si>
    <t>11:09:54</t>
  </si>
  <si>
    <t>11:11:21</t>
  </si>
  <si>
    <t>11:34:15</t>
  </si>
  <si>
    <t>01:15:43</t>
  </si>
  <si>
    <t>11:56:13</t>
  </si>
  <si>
    <t>12:13:59</t>
  </si>
  <si>
    <t>12:56:16</t>
  </si>
  <si>
    <t>12:15:36</t>
  </si>
  <si>
    <t>12:12:00</t>
  </si>
  <si>
    <t>12:30:52</t>
  </si>
  <si>
    <t>12:32:20</t>
  </si>
  <si>
    <t>11:46:33</t>
  </si>
  <si>
    <t>15:33:57</t>
  </si>
  <si>
    <t>14:10:42</t>
  </si>
  <si>
    <t>13:29:18</t>
  </si>
  <si>
    <t>11:50:01</t>
  </si>
  <si>
    <t>12:05:43</t>
  </si>
  <si>
    <t>11:11:25</t>
  </si>
  <si>
    <t>12:14:24</t>
  </si>
  <si>
    <t>11:45:10</t>
  </si>
  <si>
    <t>12:32:58</t>
  </si>
  <si>
    <t>11:47:10</t>
  </si>
  <si>
    <t>22:21:03</t>
  </si>
  <si>
    <t>13:03:27</t>
  </si>
  <si>
    <t>11:55:38</t>
  </si>
  <si>
    <t>15:10:14</t>
  </si>
  <si>
    <t>21:52:55</t>
  </si>
  <si>
    <t>11:56:49</t>
  </si>
  <si>
    <t>11:43:01</t>
  </si>
  <si>
    <t>11:40:02</t>
  </si>
  <si>
    <t>11:45:43</t>
  </si>
  <si>
    <t>12:36:33</t>
  </si>
  <si>
    <t>12:08:57</t>
  </si>
  <si>
    <t>12:42:15</t>
  </si>
  <si>
    <t>18:02:41</t>
  </si>
  <si>
    <t>19:57:59</t>
  </si>
  <si>
    <t>19:57:09</t>
  </si>
  <si>
    <t>19:56:46</t>
  </si>
  <si>
    <t>19:54:34</t>
  </si>
  <si>
    <t>16:49:23</t>
  </si>
  <si>
    <t>21:27:36</t>
  </si>
  <si>
    <t>15:32:41</t>
  </si>
  <si>
    <t>21:52:18</t>
  </si>
  <si>
    <t>00:34:40</t>
  </si>
  <si>
    <t>22:39:41</t>
  </si>
  <si>
    <t>14:46:24</t>
  </si>
  <si>
    <t>14:05:11</t>
  </si>
  <si>
    <t>23:22:04</t>
  </si>
  <si>
    <t>18:55:05</t>
  </si>
  <si>
    <t>21:07:44</t>
  </si>
  <si>
    <t>22:57:47</t>
  </si>
  <si>
    <t>21:30:24</t>
  </si>
  <si>
    <t>18:00:27</t>
  </si>
  <si>
    <t>23:03:54</t>
  </si>
  <si>
    <t>10:30:00</t>
  </si>
  <si>
    <t>14:00:03</t>
  </si>
  <si>
    <t>03:11:32</t>
  </si>
  <si>
    <t>19:39:03</t>
  </si>
  <si>
    <t>18:12:39</t>
  </si>
  <si>
    <t>06:15:32</t>
  </si>
  <si>
    <t>18:52:09</t>
  </si>
  <si>
    <t>00:37:16</t>
  </si>
  <si>
    <t>16:05:10</t>
  </si>
  <si>
    <t>22:28:17</t>
  </si>
  <si>
    <t>13:43:32</t>
  </si>
  <si>
    <t>09:26:12</t>
  </si>
  <si>
    <t>03:34:39</t>
  </si>
  <si>
    <t>01:48:08</t>
  </si>
  <si>
    <t>03:03:39</t>
  </si>
  <si>
    <t>11:42:48</t>
  </si>
  <si>
    <t>17:41:51</t>
  </si>
  <si>
    <t>13:26:39</t>
  </si>
  <si>
    <t>11:34:57</t>
  </si>
  <si>
    <t>12:18:02</t>
  </si>
  <si>
    <t>19:13:24</t>
  </si>
  <si>
    <t>19:15:36</t>
  </si>
  <si>
    <t>23:44:40</t>
  </si>
  <si>
    <t>14:02:37</t>
  </si>
  <si>
    <t>14:02:27</t>
  </si>
  <si>
    <t>14:01:04</t>
  </si>
  <si>
    <t>14:00:53</t>
  </si>
  <si>
    <t>14:00:11</t>
  </si>
  <si>
    <t>10:40:34</t>
  </si>
  <si>
    <t>10:40:27</t>
  </si>
  <si>
    <t>19:43:26</t>
  </si>
  <si>
    <t>19:43:10</t>
  </si>
  <si>
    <t>10:23:59</t>
  </si>
  <si>
    <t>11:04:12</t>
  </si>
  <si>
    <t>10:45:23</t>
  </si>
  <si>
    <t>10:06:57</t>
  </si>
  <si>
    <t>13:49:24</t>
  </si>
  <si>
    <t>10:44:58</t>
  </si>
  <si>
    <t>12:00:56</t>
  </si>
  <si>
    <t>10:56:29</t>
  </si>
  <si>
    <t>11:27:44</t>
  </si>
  <si>
    <t>11:11:07</t>
  </si>
  <si>
    <t>11:02:51</t>
  </si>
  <si>
    <t>10:57:05</t>
  </si>
  <si>
    <t>11:03:55</t>
  </si>
  <si>
    <t>12:09:03</t>
  </si>
  <si>
    <t>10:56:27</t>
  </si>
  <si>
    <t>11:08:00</t>
  </si>
  <si>
    <t>10:31:17</t>
  </si>
  <si>
    <t>10:21:52</t>
  </si>
  <si>
    <t>10:37:52</t>
  </si>
  <si>
    <t>11:11:19</t>
  </si>
  <si>
    <t>10:13:36</t>
  </si>
  <si>
    <t>11:15:06</t>
  </si>
  <si>
    <t>12:13:27</t>
  </si>
  <si>
    <t>10:23:46</t>
  </si>
  <si>
    <t>10:38:55</t>
  </si>
  <si>
    <t>12:28:10</t>
  </si>
  <si>
    <t>12:16:30</t>
  </si>
  <si>
    <t>10:29:27</t>
  </si>
  <si>
    <t>11:08:47</t>
  </si>
  <si>
    <t>11:16:29</t>
  </si>
  <si>
    <t>11:05:01</t>
  </si>
  <si>
    <t>10:46:45</t>
  </si>
  <si>
    <t>11:20:46</t>
  </si>
  <si>
    <t>10:46:36</t>
  </si>
  <si>
    <t>11:25:25</t>
  </si>
  <si>
    <t>09:55:02</t>
  </si>
  <si>
    <t>11:09:41</t>
  </si>
  <si>
    <t>10:46:57</t>
  </si>
  <si>
    <t>10:50:51</t>
  </si>
  <si>
    <t>11:08:56</t>
  </si>
  <si>
    <t>10:50:13</t>
  </si>
  <si>
    <t>11:09:15</t>
  </si>
  <si>
    <t>10:37:53</t>
  </si>
  <si>
    <t>10:21:58</t>
  </si>
  <si>
    <t>10:56:04</t>
  </si>
  <si>
    <t>10:41:02</t>
  </si>
  <si>
    <t>11:54:40</t>
  </si>
  <si>
    <t>11:18:04</t>
  </si>
  <si>
    <t>11:24:24</t>
  </si>
  <si>
    <t>11:25:53</t>
  </si>
  <si>
    <t>11:12:06</t>
  </si>
  <si>
    <t>11:40:44</t>
  </si>
  <si>
    <t>10:38:34</t>
  </si>
  <si>
    <t>13:17:21</t>
  </si>
  <si>
    <t>12:21:45</t>
  </si>
  <si>
    <t>11:03:11</t>
  </si>
  <si>
    <t>10:52:59</t>
  </si>
  <si>
    <t>10:59:58</t>
  </si>
  <si>
    <t>11:18:16</t>
  </si>
  <si>
    <t>10:38:42</t>
  </si>
  <si>
    <t>10:53:24</t>
  </si>
  <si>
    <t>11:11:17</t>
  </si>
  <si>
    <t>12:11:32</t>
  </si>
  <si>
    <t>09:53:15</t>
  </si>
  <si>
    <t>11:16:45</t>
  </si>
  <si>
    <t>12:10:47</t>
  </si>
  <si>
    <t>10:38:58</t>
  </si>
  <si>
    <t>10:26:03</t>
  </si>
  <si>
    <t>10:34:50</t>
  </si>
  <si>
    <t>11:06:42</t>
  </si>
  <si>
    <t>11:00:36</t>
  </si>
  <si>
    <t>11:04:46</t>
  </si>
  <si>
    <t>14:20:05</t>
  </si>
  <si>
    <t>10:31:29</t>
  </si>
  <si>
    <t>11:00:11</t>
  </si>
  <si>
    <t>10:56:20</t>
  </si>
  <si>
    <t>11:08:50</t>
  </si>
  <si>
    <t>10:34:27</t>
  </si>
  <si>
    <t>10:52:28</t>
  </si>
  <si>
    <t>11:14:45</t>
  </si>
  <si>
    <t>11:03:16</t>
  </si>
  <si>
    <t>10:43:29</t>
  </si>
  <si>
    <t>10:20:18</t>
  </si>
  <si>
    <t>10:51:14</t>
  </si>
  <si>
    <t>10:52:11</t>
  </si>
  <si>
    <t>11:14:20</t>
  </si>
  <si>
    <t>11:08:48</t>
  </si>
  <si>
    <t>11:02:08</t>
  </si>
  <si>
    <t>13:06:28</t>
  </si>
  <si>
    <t>10:44:14</t>
  </si>
  <si>
    <t>10:47:27</t>
  </si>
  <si>
    <t>11:33:27</t>
  </si>
  <si>
    <t>12:56:11</t>
  </si>
  <si>
    <t>11:51:44</t>
  </si>
  <si>
    <t>11:24:08</t>
  </si>
  <si>
    <t>10:09:26</t>
  </si>
  <si>
    <t>10:18:47</t>
  </si>
  <si>
    <t>10:49:38</t>
  </si>
  <si>
    <t>10:42:44</t>
  </si>
  <si>
    <t>08:44:42</t>
  </si>
  <si>
    <t>09:30:13</t>
  </si>
  <si>
    <t>10:48:39</t>
  </si>
  <si>
    <t>10:41:43</t>
  </si>
  <si>
    <t>10:29:46</t>
  </si>
  <si>
    <t>11:10:55</t>
  </si>
  <si>
    <t>10:25:03</t>
  </si>
  <si>
    <t>10:46:09</t>
  </si>
  <si>
    <t>10:32:26</t>
  </si>
  <si>
    <t>10:19:35</t>
  </si>
  <si>
    <t>11:36:29</t>
  </si>
  <si>
    <t>11:02:03</t>
  </si>
  <si>
    <t>10:41:15</t>
  </si>
  <si>
    <t>11:05:24</t>
  </si>
  <si>
    <t>10:17:57</t>
  </si>
  <si>
    <t>11:02:13</t>
  </si>
  <si>
    <t>10:26:15</t>
  </si>
  <si>
    <t>10:20:27</t>
  </si>
  <si>
    <t>10:33:14</t>
  </si>
  <si>
    <t>10:51:16</t>
  </si>
  <si>
    <t>15:11:54</t>
  </si>
  <si>
    <t>10:46:13</t>
  </si>
  <si>
    <t>10:27:09</t>
  </si>
  <si>
    <t>10:52:39</t>
  </si>
  <si>
    <t>09:29:36</t>
  </si>
  <si>
    <t>11:10:01</t>
  </si>
  <si>
    <t>11:52:42</t>
  </si>
  <si>
    <t>10:42:18</t>
  </si>
  <si>
    <t>10:49:12</t>
  </si>
  <si>
    <t>10:53:25</t>
  </si>
  <si>
    <t>11:13:43</t>
  </si>
  <si>
    <t>11:18:26</t>
  </si>
  <si>
    <t>11:31:04</t>
  </si>
  <si>
    <t>10:07:05</t>
  </si>
  <si>
    <t>11:26:08</t>
  </si>
  <si>
    <t>10:43:58</t>
  </si>
  <si>
    <t>10:49:54</t>
  </si>
  <si>
    <t>10:59:30</t>
  </si>
  <si>
    <t>11:03:12</t>
  </si>
  <si>
    <t>10:18:27</t>
  </si>
  <si>
    <t>12:36:30</t>
  </si>
  <si>
    <t>11:48:23</t>
  </si>
  <si>
    <t>10:38:41</t>
  </si>
  <si>
    <t>10:52:52</t>
  </si>
  <si>
    <t>11:07:09</t>
  </si>
  <si>
    <t>10:52:45</t>
  </si>
  <si>
    <t>10:46:16</t>
  </si>
  <si>
    <t>11:09:24</t>
  </si>
  <si>
    <t>12:14:53</t>
  </si>
  <si>
    <t>10:55:43</t>
  </si>
  <si>
    <t>11:22:35</t>
  </si>
  <si>
    <t>13:28:32</t>
  </si>
  <si>
    <t>22:17:14</t>
  </si>
  <si>
    <t>02:34:38</t>
  </si>
  <si>
    <t>13:24:17</t>
  </si>
  <si>
    <t>21:00:38</t>
  </si>
  <si>
    <t>18:00:53</t>
  </si>
  <si>
    <t>21:01:03</t>
  </si>
  <si>
    <t>18:01:01</t>
  </si>
  <si>
    <t>18:00:58</t>
  </si>
  <si>
    <t>21:00:34</t>
  </si>
  <si>
    <t>18:00:46</t>
  </si>
  <si>
    <t>12:00:51</t>
  </si>
  <si>
    <t>19:00:48</t>
  </si>
  <si>
    <t>12:00:52</t>
  </si>
  <si>
    <t>17:00:49</t>
  </si>
  <si>
    <t>11:00:54</t>
  </si>
  <si>
    <t>20:00:50</t>
  </si>
  <si>
    <t>18:00:45</t>
  </si>
  <si>
    <t>21:00:23</t>
  </si>
  <si>
    <t>13:00:41</t>
  </si>
  <si>
    <t>17:00:42</t>
  </si>
  <si>
    <t>15:00:42</t>
  </si>
  <si>
    <t>15:00:53</t>
  </si>
  <si>
    <t>13:00:49</t>
  </si>
  <si>
    <t>22:01:04</t>
  </si>
  <si>
    <t>20:01:01</t>
  </si>
  <si>
    <t>18:00:51</t>
  </si>
  <si>
    <t>16:00:51</t>
  </si>
  <si>
    <t>21:00:50</t>
  </si>
  <si>
    <t>19:00:42</t>
  </si>
  <si>
    <t>17:00:30</t>
  </si>
  <si>
    <t>15:00:51</t>
  </si>
  <si>
    <t>13:00:54</t>
  </si>
  <si>
    <t>11:00:52</t>
  </si>
  <si>
    <t>12:00:43</t>
  </si>
  <si>
    <t>18:01:02</t>
  </si>
  <si>
    <t>18:00:57</t>
  </si>
  <si>
    <t>20:00:47</t>
  </si>
  <si>
    <t>18:00:36</t>
  </si>
  <si>
    <t>17:00:40</t>
  </si>
  <si>
    <t>16:00:45</t>
  </si>
  <si>
    <t>15:00:47</t>
  </si>
  <si>
    <t>13:00:47</t>
  </si>
  <si>
    <t>18:00:52</t>
  </si>
  <si>
    <t>16:00:47</t>
  </si>
  <si>
    <t>14:00:59</t>
  </si>
  <si>
    <t>12:00:49</t>
  </si>
  <si>
    <t>23:00:47</t>
  </si>
  <si>
    <t>21:00:59</t>
  </si>
  <si>
    <t>19:00:46</t>
  </si>
  <si>
    <t>17:00:44</t>
  </si>
  <si>
    <t>02:25:23</t>
  </si>
  <si>
    <t>15:58:19</t>
  </si>
  <si>
    <t>10:50:06</t>
  </si>
  <si>
    <t>02:07:35</t>
  </si>
  <si>
    <t>21:58:15</t>
  </si>
  <si>
    <t>10:21:25</t>
  </si>
  <si>
    <t>18:49:53</t>
  </si>
  <si>
    <t>15:28:27</t>
  </si>
  <si>
    <t>00:09:39</t>
  </si>
  <si>
    <t>00:58:29</t>
  </si>
  <si>
    <t>18:20:10</t>
  </si>
  <si>
    <t>02:03:35</t>
  </si>
  <si>
    <t>14:17:02</t>
  </si>
  <si>
    <t>18:23:59</t>
  </si>
  <si>
    <t>18:15:46</t>
  </si>
  <si>
    <t>18:11:32</t>
  </si>
  <si>
    <t>21:58:26</t>
  </si>
  <si>
    <t>12:03:10</t>
  </si>
  <si>
    <t>07:47:06</t>
  </si>
  <si>
    <t>17:32:23</t>
  </si>
  <si>
    <t>13:49:02</t>
  </si>
  <si>
    <t>16:45:23</t>
  </si>
  <si>
    <t>19:28:19</t>
  </si>
  <si>
    <t>18:25:20</t>
  </si>
  <si>
    <t>11:05:23</t>
  </si>
  <si>
    <t>13:09:25</t>
  </si>
  <si>
    <t>00:22:05</t>
  </si>
  <si>
    <t>15:59:42</t>
  </si>
  <si>
    <t>22:40:24</t>
  </si>
  <si>
    <t>10:11:22</t>
  </si>
  <si>
    <t>00:11:45</t>
  </si>
  <si>
    <t>22:28:26</t>
  </si>
  <si>
    <t>00:04:30</t>
  </si>
  <si>
    <t>02:10:39</t>
  </si>
  <si>
    <t>17:50:11</t>
  </si>
  <si>
    <t>21:42:45</t>
  </si>
  <si>
    <t>01:09:33</t>
  </si>
  <si>
    <t>19:03:42</t>
  </si>
  <si>
    <t>19:37:44</t>
  </si>
  <si>
    <t>23:34:50</t>
  </si>
  <si>
    <t>23:39:27</t>
  </si>
  <si>
    <t>06:15:19</t>
  </si>
  <si>
    <t>18:26:14</t>
  </si>
  <si>
    <t>11:50:00</t>
  </si>
  <si>
    <t>19:52:33</t>
  </si>
  <si>
    <t>15:01:04</t>
  </si>
  <si>
    <t>18:22:19</t>
  </si>
  <si>
    <t>15:50:56</t>
  </si>
  <si>
    <t>15:47:59</t>
  </si>
  <si>
    <t>23:51:19</t>
  </si>
  <si>
    <t>09:21:08</t>
  </si>
  <si>
    <t>04:19:23</t>
  </si>
  <si>
    <t>10:24:27</t>
  </si>
  <si>
    <t>10:12:02</t>
  </si>
  <si>
    <t>19:37:55</t>
  </si>
  <si>
    <t>03:13:39</t>
  </si>
  <si>
    <t>18:39:05</t>
  </si>
  <si>
    <t>22:32:02</t>
  </si>
  <si>
    <t>18:07:31</t>
  </si>
  <si>
    <t>14:17:56</t>
  </si>
  <si>
    <t>14:16:46</t>
  </si>
  <si>
    <t>14:15:21</t>
  </si>
  <si>
    <t>22:51:19</t>
  </si>
  <si>
    <t>02:44:15</t>
  </si>
  <si>
    <t>02:39:58</t>
  </si>
  <si>
    <t>18:01:00</t>
  </si>
  <si>
    <t>20:43:33</t>
  </si>
  <si>
    <t>00:20:25</t>
  </si>
  <si>
    <t>02:06:10</t>
  </si>
  <si>
    <t>17:30:00</t>
  </si>
  <si>
    <t>13:35:48</t>
  </si>
  <si>
    <t>12:35:09</t>
  </si>
  <si>
    <t>12:39:31</t>
  </si>
  <si>
    <t>10:41:41</t>
  </si>
  <si>
    <t>17:02:06</t>
  </si>
  <si>
    <t>15:36:08</t>
  </si>
  <si>
    <t>20:00:15</t>
  </si>
  <si>
    <t>04:20:13</t>
  </si>
  <si>
    <t>20:51:09</t>
  </si>
  <si>
    <t>14:12:38</t>
  </si>
  <si>
    <t>01:03:40</t>
  </si>
  <si>
    <t>12:46:19</t>
  </si>
  <si>
    <t>19:34:04</t>
  </si>
  <si>
    <t>18:02:06</t>
  </si>
  <si>
    <t>16:58:04</t>
  </si>
  <si>
    <t>11:54:48</t>
  </si>
  <si>
    <t>09:17:15</t>
  </si>
  <si>
    <t>09:19:21</t>
  </si>
  <si>
    <t>14:23:25</t>
  </si>
  <si>
    <t>10:52:44</t>
  </si>
  <si>
    <t>12:36:28</t>
  </si>
  <si>
    <t>12:00:45</t>
  </si>
  <si>
    <t>12:55:30</t>
  </si>
  <si>
    <t>17:45:15</t>
  </si>
  <si>
    <t>19:23:34</t>
  </si>
  <si>
    <t>19:58:05</t>
  </si>
  <si>
    <t>14:02:50</t>
  </si>
  <si>
    <t>16:48:33</t>
  </si>
  <si>
    <t>15:11:21</t>
  </si>
  <si>
    <t>17:38:59</t>
  </si>
  <si>
    <t>13:03:40</t>
  </si>
  <si>
    <t>13:32:22</t>
  </si>
  <si>
    <t>18:33:05</t>
  </si>
  <si>
    <t>17:32:42</t>
  </si>
  <si>
    <t>21:40:03</t>
  </si>
  <si>
    <t>19:13:13</t>
  </si>
  <si>
    <t>14:26:49</t>
  </si>
  <si>
    <t>14:10:21</t>
  </si>
  <si>
    <t>16:04:45</t>
  </si>
  <si>
    <t>14:35:12</t>
  </si>
  <si>
    <t>20:03:27</t>
  </si>
  <si>
    <t>17:28:34</t>
  </si>
  <si>
    <t>01:36:05</t>
  </si>
  <si>
    <t>21:24:02</t>
  </si>
  <si>
    <t>19:00:04</t>
  </si>
  <si>
    <t>06:51:51</t>
  </si>
  <si>
    <t>14:19:55</t>
  </si>
  <si>
    <t>15:32:36</t>
  </si>
  <si>
    <t>15:48:27</t>
  </si>
  <si>
    <t>16:36:41</t>
  </si>
  <si>
    <t>16:06:30</t>
  </si>
  <si>
    <t>18:55:27</t>
  </si>
  <si>
    <t>14:36:05</t>
  </si>
  <si>
    <t>16:07:27</t>
  </si>
  <si>
    <t>16:06:39</t>
  </si>
  <si>
    <t>23:36:26</t>
  </si>
  <si>
    <t>12:52:19</t>
  </si>
  <si>
    <t>16:03:45</t>
  </si>
  <si>
    <t>17:10:16</t>
  </si>
  <si>
    <t>09:45:00</t>
  </si>
  <si>
    <t>13:18:09</t>
  </si>
  <si>
    <t>22:49:54</t>
  </si>
  <si>
    <t>10:40:37</t>
  </si>
  <si>
    <t>11:57:15</t>
  </si>
  <si>
    <t>23:55:58</t>
  </si>
  <si>
    <t>14:17:04</t>
  </si>
  <si>
    <t>04:43:45</t>
  </si>
  <si>
    <t>12:24:30</t>
  </si>
  <si>
    <t>12:24:25</t>
  </si>
  <si>
    <t>08:19:29</t>
  </si>
  <si>
    <t>13:02:22</t>
  </si>
  <si>
    <t>10:39:54</t>
  </si>
  <si>
    <t>08:42:25</t>
  </si>
  <si>
    <t>10:17:25</t>
  </si>
  <si>
    <t>10:55:49</t>
  </si>
  <si>
    <t>08:26:58</t>
  </si>
  <si>
    <t>10:19:09</t>
  </si>
  <si>
    <t>08:39:24</t>
  </si>
  <si>
    <t>10:44:02</t>
  </si>
  <si>
    <t>10:41:55</t>
  </si>
  <si>
    <t>22:03:21</t>
  </si>
  <si>
    <t>10:48:42</t>
  </si>
  <si>
    <t>08:26:07</t>
  </si>
  <si>
    <t>03:09:38</t>
  </si>
  <si>
    <t>02:25:04</t>
  </si>
  <si>
    <t>02:21:21</t>
  </si>
  <si>
    <t>01:42:06</t>
  </si>
  <si>
    <t>13:47:34</t>
  </si>
  <si>
    <t>18:41:22</t>
  </si>
  <si>
    <t>13:02:16</t>
  </si>
  <si>
    <t>20:08:15</t>
  </si>
  <si>
    <t>03:56:14</t>
  </si>
  <si>
    <t>22:28:52</t>
  </si>
  <si>
    <t>23:24:28</t>
  </si>
  <si>
    <t>03:58:48</t>
  </si>
  <si>
    <t>10:49:43</t>
  </si>
  <si>
    <t>01:09:52</t>
  </si>
  <si>
    <t>11:00:58</t>
  </si>
  <si>
    <t>00:44:29</t>
  </si>
  <si>
    <t>23:47:56</t>
  </si>
  <si>
    <t>03:32:16</t>
  </si>
  <si>
    <t>17:25:41</t>
  </si>
  <si>
    <t>14:33:10</t>
  </si>
  <si>
    <t>04:00:41</t>
  </si>
  <si>
    <t>-46,619529,-24,089757 
-46,619529,-23,946209 
-46,383547,-23,946209 
-46,383547,-24,089757 
-46,619529,-24,089757</t>
  </si>
  <si>
    <t>-49,206993,-27,1325356 
-49,206993,-26,613085 
-49,0122597,-26,613085 
-49,0122597,-27,1325356 
-49,206993,-27,1325356</t>
  </si>
  <si>
    <t>-46,826039,-24,008814 
-46,826039,-23,356792 
-46,365052,-23,356792 
-46,365052,-24,008814 
-46,826039,-24,008814</t>
  </si>
  <si>
    <t>-49,3916434,-25,6447517 
-49,3916434,-25,3457471 
-49,1852775,-25,3457471 
-49,1852775,-25,6447517 
-49,3916434,-25,6447517</t>
  </si>
  <si>
    <t>-48,6103127,-27,8389356 
-48,6103127,-27,3804458 
-48,3474853,-27,3804458 
-48,3474853,-27,8389356 
-48,6103127,-27,8389356</t>
  </si>
  <si>
    <t>-44,888954,-23,369641 
-44,888954,-20,7639197 
-40,958454,-20,7639197 
-40,958454,-23,369641 
-44,888954,-23,369641</t>
  </si>
  <si>
    <t>-37,37306,-9,608051 
-37,37306,-9,45353 
-37,120618,-9,45353 
-37,120618,-9,608051 
-37,37306,-9,608051</t>
  </si>
  <si>
    <t>-40,5292357,-19,691986 
-40,5292357,-18,9910341 
-39,689234,-18,9910341 
-39,689234,-19,691986 
-40,5292357,-19,691986</t>
  </si>
  <si>
    <t>-43,795449,-23,08302 
-43,795449,-22,7398234 
-43,0877068,-22,7398234 
-43,0877068,-23,08302 
-43,795449,-23,08302</t>
  </si>
  <si>
    <t>-51,3061478,-30,2688069 
-51,3061478,-29,9308654 
-51,012471,-29,9308654 
-51,012471,-30,2688069 
-51,3061478,-30,2688069</t>
  </si>
  <si>
    <t>-39,357533,-7,2681337 
-39,357533,-7,093853 
-39,193568,-7,093853 
-39,193568,-7,2681337 
-39,357533,-7,2681337</t>
  </si>
  <si>
    <t>-53,110051,-25,312344 
-53,110051,-19,779759 
-44,16098,-19,779759 
-44,16098,-25,312344 
-53,110051,-25,312344</t>
  </si>
  <si>
    <t>-8,6984109,42,3430948 
-8,6984109,42,5133629 
-8,5561468,42,5133629 
-8,5561468,42,3430948 
-8,6984109,42,3430948</t>
  </si>
  <si>
    <t>42,3150577,18,1271666 
42,3150577,18,4804647 
42,7516524,18,4804647 
42,7516524,18,1271666 
42,3150577,18,1271666</t>
  </si>
  <si>
    <t>-47,530951,-22,907043 
-47,530951,-22,698938 
-47,340413,-22,698938 
-47,340413,-22,907043 
-47,530951,-22,907043</t>
  </si>
  <si>
    <t>-34,9738347,-7,243257 
-34,9738347,-7,055696 
-34,792907,-7,055696 
-34,792907,-7,243257 
-34,9738347,-7,243257</t>
  </si>
  <si>
    <t>-46,403227,-23,99197 
-46,403227,-23,73467 
-46,176966,-23,73467 
-46,176966,-23,99197 
-46,403227,-23,99197</t>
  </si>
  <si>
    <t>-50,8905566,-29,4417865 
-50,8905566,-29,2477258 
-50,6430404,-29,2477258 
-50,6430404,-29,4417865 
-50,8905566,-29,4417865</t>
  </si>
  <si>
    <t>Brasil</t>
  </si>
  <si>
    <t>Espanha</t>
  </si>
  <si>
    <t>Reino da Arábia Saudita</t>
  </si>
  <si>
    <t>BR</t>
  </si>
  <si>
    <t>ES</t>
  </si>
  <si>
    <t>SA</t>
  </si>
  <si>
    <t>Praia Grande, Brasil</t>
  </si>
  <si>
    <t>Blumenau, Brasil</t>
  </si>
  <si>
    <t>São Paulo, Brasil</t>
  </si>
  <si>
    <t>Curitiba, Brasil</t>
  </si>
  <si>
    <t>Florianópolis, Brasil</t>
  </si>
  <si>
    <t>Rio de Janeiro, Brasil</t>
  </si>
  <si>
    <t>Olho d'Água das Flores, Brasil</t>
  </si>
  <si>
    <t>Linhares, Brasil</t>
  </si>
  <si>
    <t>Porto Alegre, Brasil</t>
  </si>
  <si>
    <t>Juazeiro do Norte, Brasil</t>
  </si>
  <si>
    <t>Pontevedra, España</t>
  </si>
  <si>
    <t>ابها, المملكة العربية السعودية</t>
  </si>
  <si>
    <t>Santa Bárbara d'Oeste, Brasil</t>
  </si>
  <si>
    <t>João Pessoa, Brasil</t>
  </si>
  <si>
    <t>Santos, Brasil</t>
  </si>
  <si>
    <t>Canela, Brasil</t>
  </si>
  <si>
    <t>e2e743f3f58bd158</t>
  </si>
  <si>
    <t>63968ec77ab62d12</t>
  </si>
  <si>
    <t>68e019afec7d0ba5</t>
  </si>
  <si>
    <t>6d5542f8d837770d</t>
  </si>
  <si>
    <t>c44302d542084bfe</t>
  </si>
  <si>
    <t>e433fbca595f29e5</t>
  </si>
  <si>
    <t>ff6ff547432a3b9a</t>
  </si>
  <si>
    <t>4d80dba43c65e0c9</t>
  </si>
  <si>
    <t>97bcdfca1a2dca59</t>
  </si>
  <si>
    <t>894146230dd1d42d</t>
  </si>
  <si>
    <t>54f0f25fc166ccb9</t>
  </si>
  <si>
    <t>8cd72e7876a6c73d</t>
  </si>
  <si>
    <t>394ff7ddd49995ae</t>
  </si>
  <si>
    <t>0003e09b4cd38206</t>
  </si>
  <si>
    <t>dea26f2dec72d734</t>
  </si>
  <si>
    <t>c9f2f46c0d1b963d</t>
  </si>
  <si>
    <t>c83a3bc35870a7a1</t>
  </si>
  <si>
    <t>25cee3fa86c353a8</t>
  </si>
  <si>
    <t>Praia Grande</t>
  </si>
  <si>
    <t>Blumenau</t>
  </si>
  <si>
    <t>São Paulo</t>
  </si>
  <si>
    <t>Curitiba</t>
  </si>
  <si>
    <t>Florianópolis</t>
  </si>
  <si>
    <t>Rio de Janeiro</t>
  </si>
  <si>
    <t>Olho d'Água das Flores</t>
  </si>
  <si>
    <t>Linhares</t>
  </si>
  <si>
    <t>Porto Alegre</t>
  </si>
  <si>
    <t>Juazeiro do Norte</t>
  </si>
  <si>
    <t>Pontevedra</t>
  </si>
  <si>
    <t>ابها</t>
  </si>
  <si>
    <t>Santa Bárbara d'Oeste</t>
  </si>
  <si>
    <t>João Pessoa</t>
  </si>
  <si>
    <t>Santos</t>
  </si>
  <si>
    <t>Canela</t>
  </si>
  <si>
    <t>city</t>
  </si>
  <si>
    <t>admin</t>
  </si>
  <si>
    <t>7_1616643124406755329</t>
  </si>
  <si>
    <t>7_1619160807035609095</t>
  </si>
  <si>
    <t>3_1675097096725118976</t>
  </si>
  <si>
    <t>3_1695832718284619776</t>
  </si>
  <si>
    <t>3_1695802581216374784</t>
  </si>
  <si>
    <t>3_1642272694304481283</t>
  </si>
  <si>
    <t>3_1611184795148587009</t>
  </si>
  <si>
    <t>3_1704147542450360320</t>
  </si>
  <si>
    <t>7_1682090308169768974</t>
  </si>
  <si>
    <t>7_1676593664712228864</t>
  </si>
  <si>
    <t>3_1674071766069661701</t>
  </si>
  <si>
    <t>7_1612875661487521793</t>
  </si>
  <si>
    <t>3_1657794011736809473</t>
  </si>
  <si>
    <t>7_1669145369844801537</t>
  </si>
  <si>
    <t>7_1616541182904991773</t>
  </si>
  <si>
    <t>3_1650535984302366720</t>
  </si>
  <si>
    <t>7_1667687669088894977</t>
  </si>
  <si>
    <t>3_1692228123239047190 3_1692228151840006148 3_1692228167308599301 3_1692228187894243343</t>
  </si>
  <si>
    <t>3_1692228697455996928 3_1692228723666239488 3_1692228746822971392</t>
  </si>
  <si>
    <t>3_1696621001772019712 3_1696621029844570113 3_1696621030263885824 3_1696621032398794768</t>
  </si>
  <si>
    <t>7_1696601423746629635</t>
  </si>
  <si>
    <t>3_1662449001491210243</t>
  </si>
  <si>
    <t>16_1673598669730328577</t>
  </si>
  <si>
    <t>3_1692253570672791552</t>
  </si>
  <si>
    <t>3_1679543101688258562</t>
  </si>
  <si>
    <t>7_1639404504717066240</t>
  </si>
  <si>
    <t>7_1682773371174436864</t>
  </si>
  <si>
    <t>7_1616541184339447808</t>
  </si>
  <si>
    <t>3_1638249325456158732</t>
  </si>
  <si>
    <t>3_1629618543204474880</t>
  </si>
  <si>
    <t>3_1628398493378260993</t>
  </si>
  <si>
    <t>3_1635331072903847971 3_1635331072895459334</t>
  </si>
  <si>
    <t>3_1631722788225523737</t>
  </si>
  <si>
    <t>3_1630953491467255810</t>
  </si>
  <si>
    <t>3_1613882512081620993</t>
  </si>
  <si>
    <t>3_1645870183515299840 3_1645870183511195654 3_1645870183511126017</t>
  </si>
  <si>
    <t>3_1641811027015729153</t>
  </si>
  <si>
    <t>3_1610605209557811200</t>
  </si>
  <si>
    <t>3_1656281394430062594 3_1656281394425868301 3_1656281394430050307 3_1656281394434154497</t>
  </si>
  <si>
    <t>3_1653454916428365856</t>
  </si>
  <si>
    <t>3_1684626341738528768</t>
  </si>
  <si>
    <t>3_1653061331585564672</t>
  </si>
  <si>
    <t>3_1636018579605790724</t>
  </si>
  <si>
    <t>3_1697598770911772674</t>
  </si>
  <si>
    <t>3_1684657439461793793 3_1684657439520538624</t>
  </si>
  <si>
    <t>7_1637997489377640449</t>
  </si>
  <si>
    <t>7_1629904374452441089</t>
  </si>
  <si>
    <t>3_1661229889863794689</t>
  </si>
  <si>
    <t>3_1646621631375200257</t>
  </si>
  <si>
    <t>7_1660290056618221569</t>
  </si>
  <si>
    <t>7_1623707035714846721</t>
  </si>
  <si>
    <t>3_1622994103012143121</t>
  </si>
  <si>
    <t>3_1691602377185357824</t>
  </si>
  <si>
    <t>3_1691602070061641728</t>
  </si>
  <si>
    <t>7_1691301955577040896</t>
  </si>
  <si>
    <t>3_1615006817414774785</t>
  </si>
  <si>
    <t>7_1616441002277089282</t>
  </si>
  <si>
    <t>3_1617956431344373773 3_1617956431352762371 3_1617956431352811522</t>
  </si>
  <si>
    <t>3_1680910400865402882</t>
  </si>
  <si>
    <t>3_1644727947322970118</t>
  </si>
  <si>
    <t>3_1641104492274778115</t>
  </si>
  <si>
    <t>7_1629271989163634689</t>
  </si>
  <si>
    <t>7_1650240952970117126</t>
  </si>
  <si>
    <t>7_1648373291697029121</t>
  </si>
  <si>
    <t>3_1672198492796665857</t>
  </si>
  <si>
    <t>3_1674072715735490560</t>
  </si>
  <si>
    <t>7_1612814747019214849</t>
  </si>
  <si>
    <t>7_1634628655564353538</t>
  </si>
  <si>
    <t>7_1634321670012846081</t>
  </si>
  <si>
    <t>7_1635831552495034370</t>
  </si>
  <si>
    <t>3_1635778407962234883</t>
  </si>
  <si>
    <t>7_1635422296725766145</t>
  </si>
  <si>
    <t>7_1635104642714460160</t>
  </si>
  <si>
    <t>7_1634968775823962112</t>
  </si>
  <si>
    <t>7_1667265972821016577</t>
  </si>
  <si>
    <t>7_1666890234456416256</t>
  </si>
  <si>
    <t>7_1660351924405772289</t>
  </si>
  <si>
    <t>7_1660036278501404674</t>
  </si>
  <si>
    <t>7_1659697488750604288</t>
  </si>
  <si>
    <t>7_1659336436368195584</t>
  </si>
  <si>
    <t>7_1657155179869814784</t>
  </si>
  <si>
    <t>7_1654249111590166529</t>
  </si>
  <si>
    <t>7_1653894553034801152</t>
  </si>
  <si>
    <t>7_1653518631253188610</t>
  </si>
  <si>
    <t>7_1653182530940485633</t>
  </si>
  <si>
    <t>7_1649961082310520834</t>
  </si>
  <si>
    <t>7_1649868811456184321</t>
  </si>
  <si>
    <t>7_1649448461136195584</t>
  </si>
  <si>
    <t>7_1649226240694403072</t>
  </si>
  <si>
    <t>7_1649151615360725011</t>
  </si>
  <si>
    <t>7_1648842122236141570</t>
  </si>
  <si>
    <t>7_1648476199809863681</t>
  </si>
  <si>
    <t>7_1641591889441767424</t>
  </si>
  <si>
    <t>7_1641233907948331010</t>
  </si>
  <si>
    <t>7_1640854845761388547</t>
  </si>
  <si>
    <t>7_1640536258446344194</t>
  </si>
  <si>
    <t>7_1673450277087608838</t>
  </si>
  <si>
    <t>7_1673044800696729601</t>
  </si>
  <si>
    <t>7_1663316047913418754</t>
  </si>
  <si>
    <t>7_1662865767187070977</t>
  </si>
  <si>
    <t>7_1662515186064842755</t>
  </si>
  <si>
    <t>7_1661864015365132289</t>
  </si>
  <si>
    <t>7_1661503050119278594</t>
  </si>
  <si>
    <t>7_1661142388998373376</t>
  </si>
  <si>
    <t>7_1660769953627136001</t>
  </si>
  <si>
    <t>7_1653093253695123456</t>
  </si>
  <si>
    <t>7_1652750317723738112</t>
  </si>
  <si>
    <t>7_1652397527365214208</t>
  </si>
  <si>
    <t>7_1652086615043391494</t>
  </si>
  <si>
    <t>7_1651725385887883268</t>
  </si>
  <si>
    <t>7_1651371812570144768</t>
  </si>
  <si>
    <t>7_1651021295096561666</t>
  </si>
  <si>
    <t>7_1650674779777630208</t>
  </si>
  <si>
    <t>7_1650568695456968704</t>
  </si>
  <si>
    <t>7_1650312407275667457</t>
  </si>
  <si>
    <t>7_1650199884828401667</t>
  </si>
  <si>
    <t>7_1640151849054380033</t>
  </si>
  <si>
    <t>7_1640031299103608832</t>
  </si>
  <si>
    <t>7_1639792204511158272</t>
  </si>
  <si>
    <t>7_1639697975189315584</t>
  </si>
  <si>
    <t>7_1639409113925918722</t>
  </si>
  <si>
    <t>7_1639086099992592384</t>
  </si>
  <si>
    <t>7_1639033778331869187</t>
  </si>
  <si>
    <t>7_1638704901092962305</t>
  </si>
  <si>
    <t>7_1638667821101006855</t>
  </si>
  <si>
    <t>7_1638303197050568704</t>
  </si>
  <si>
    <t>7_1638002169717698562</t>
  </si>
  <si>
    <t>7_1637645412885487616</t>
  </si>
  <si>
    <t>7_1637479114876567554</t>
  </si>
  <si>
    <t>7_1637214948982939648</t>
  </si>
  <si>
    <t>7_1637136416827113476</t>
  </si>
  <si>
    <t>7_1636859431710236677</t>
  </si>
  <si>
    <t>7_1636566168973484035</t>
  </si>
  <si>
    <t>3_1636499775146082305</t>
  </si>
  <si>
    <t>7_1636499563065352192</t>
  </si>
  <si>
    <t>7_1636142733420032002</t>
  </si>
  <si>
    <t>7_1673837742801707014</t>
  </si>
  <si>
    <t>7_1670928671220154373</t>
  </si>
  <si>
    <t>7_1670522380874137600</t>
  </si>
  <si>
    <t>7_1670241105797890048</t>
  </si>
  <si>
    <t>7_1669834809474969600</t>
  </si>
  <si>
    <t>7_1669467236891869184</t>
  </si>
  <si>
    <t>7_1669100795839561728</t>
  </si>
  <si>
    <t>7_1666565564343410688</t>
  </si>
  <si>
    <t>7_1666209729675157511</t>
  </si>
  <si>
    <t>7_1665426115970625537</t>
  </si>
  <si>
    <t>7_1664762600041660420</t>
  </si>
  <si>
    <t>7_1664400101052235785</t>
  </si>
  <si>
    <t>7_1664032766806175744</t>
  </si>
  <si>
    <t>7_1656808346555392000</t>
  </si>
  <si>
    <t>7_1656431543332532225</t>
  </si>
  <si>
    <t>7_1656064983069782019</t>
  </si>
  <si>
    <t>7_1655710996936245249</t>
  </si>
  <si>
    <t>7_1655375520224215041</t>
  </si>
  <si>
    <t>7_1655302984161435650</t>
  </si>
  <si>
    <t>7_1654925380787027971</t>
  </si>
  <si>
    <t>7_1654622871166107648</t>
  </si>
  <si>
    <t>7_1644490285722861568</t>
  </si>
  <si>
    <t>7_1644406004484911104</t>
  </si>
  <si>
    <t>7_1644120960809807872</t>
  </si>
  <si>
    <t>7_1643749424424730625</t>
  </si>
  <si>
    <t>7_1643035048541581312</t>
  </si>
  <si>
    <t>7_1642704281500352513</t>
  </si>
  <si>
    <t>7_1642639153593556992</t>
  </si>
  <si>
    <t>7_1642565768410718210</t>
  </si>
  <si>
    <t>7_1642295313410015238</t>
  </si>
  <si>
    <t>7_1642233820849008642</t>
  </si>
  <si>
    <t>7_1641956371540111363</t>
  </si>
  <si>
    <t>7_1674549819036016645</t>
  </si>
  <si>
    <t>7_1674195968567255040</t>
  </si>
  <si>
    <t>7_1672360439190093826</t>
  </si>
  <si>
    <t>7_1672000549288329218</t>
  </si>
  <si>
    <t>7_1671644786032353281</t>
  </si>
  <si>
    <t>7_1671278450018009089</t>
  </si>
  <si>
    <t>7_1668737072100782081</t>
  </si>
  <si>
    <t>7_1668377101202759682</t>
  </si>
  <si>
    <t>7_1667949721187434496</t>
  </si>
  <si>
    <t>7_1658964187312189440</t>
  </si>
  <si>
    <t>7_1658595499094540291</t>
  </si>
  <si>
    <t>7_1658248028346564611</t>
  </si>
  <si>
    <t>7_1657812732777824257</t>
  </si>
  <si>
    <t>7_1657524258992472064</t>
  </si>
  <si>
    <t>7_1647784471507116034</t>
  </si>
  <si>
    <t>7_1647335475974209538</t>
  </si>
  <si>
    <t>7_1647017904070705156</t>
  </si>
  <si>
    <t>7_1646661093681512452</t>
  </si>
  <si>
    <t>7_1646294109429039104</t>
  </si>
  <si>
    <t>7_1645918271139373058</t>
  </si>
  <si>
    <t>7_1645550220120293382</t>
  </si>
  <si>
    <t>7_1645138101516357635</t>
  </si>
  <si>
    <t>7_1644864079180320773</t>
  </si>
  <si>
    <t>7_1644814691443654659</t>
  </si>
  <si>
    <t>7_1643652465428930560</t>
  </si>
  <si>
    <t>7_1698788912238395392</t>
  </si>
  <si>
    <t>7_1698670542750965760</t>
  </si>
  <si>
    <t>7_1704630733216571392</t>
  </si>
  <si>
    <t>7_1701981144734961664</t>
  </si>
  <si>
    <t>3_1657057192112017409</t>
  </si>
  <si>
    <t>3_1610598595043926018</t>
  </si>
  <si>
    <t>3_1625707338085662726</t>
  </si>
  <si>
    <t>13_1691919079488065536</t>
  </si>
  <si>
    <t>3_1649120829798481929</t>
  </si>
  <si>
    <t>3_1620122174743797764</t>
  </si>
  <si>
    <t>3_1622364479240519683</t>
  </si>
  <si>
    <t>3_1701477532720046080</t>
  </si>
  <si>
    <t>3_1636370799077765122</t>
  </si>
  <si>
    <t>3_1686844841039130624</t>
  </si>
  <si>
    <t>3_1643780562539216897 3_1643780562539216900 3_1643780562539237378</t>
  </si>
  <si>
    <t>7_1652737923509370882</t>
  </si>
  <si>
    <t>3_1613413499052646401</t>
  </si>
  <si>
    <t>7_1643289750965481473</t>
  </si>
  <si>
    <t>7_1692262308645400577</t>
  </si>
  <si>
    <t>3_1678066133054763009</t>
  </si>
  <si>
    <t>16_1642099281984192512</t>
  </si>
  <si>
    <t>3_1668592431766335488</t>
  </si>
  <si>
    <t>3_1627622768358424578</t>
  </si>
  <si>
    <t>3_1625089459476725760</t>
  </si>
  <si>
    <t>7_1612062866680516608</t>
  </si>
  <si>
    <t>7_1645381352689213442</t>
  </si>
  <si>
    <t>7_1642635294309490689</t>
  </si>
  <si>
    <t>7_1693236107918397440</t>
  </si>
  <si>
    <t>7_1628741595683082240</t>
  </si>
  <si>
    <t>7_1662250866659803139</t>
  </si>
  <si>
    <t>7_1662250587335929856</t>
  </si>
  <si>
    <t>7_1662250190684803073</t>
  </si>
  <si>
    <t>3_1689013646045626368</t>
  </si>
  <si>
    <t>3_1630572615415873536</t>
  </si>
  <si>
    <t>3_1672867577029357568</t>
  </si>
  <si>
    <t>7_1637162484359626752</t>
  </si>
  <si>
    <t>7_1625616038581641234</t>
  </si>
  <si>
    <t>3_1646489566100987905</t>
  </si>
  <si>
    <t>3_1616085259845619712</t>
  </si>
  <si>
    <t>3_1648739846930694161</t>
  </si>
  <si>
    <t>3_1655862624133758976</t>
  </si>
  <si>
    <t>3_1653202359718215681</t>
  </si>
  <si>
    <t>7_1704933593934364672</t>
  </si>
  <si>
    <t>3_1696591990652129281</t>
  </si>
  <si>
    <t>3_1642294062605561857</t>
  </si>
  <si>
    <t>3_1701003709399113728</t>
  </si>
  <si>
    <t>7_1665083299654451200</t>
  </si>
  <si>
    <t>7_1638633810194579459</t>
  </si>
  <si>
    <t>3_1637205426327502851</t>
  </si>
  <si>
    <t>3_1637202129797492737</t>
  </si>
  <si>
    <t>3_1636475745521238017</t>
  </si>
  <si>
    <t>3_1636226110756093954</t>
  </si>
  <si>
    <t>3_1636219715822448641</t>
  </si>
  <si>
    <t>3_1643567433247076352</t>
  </si>
  <si>
    <t>3_1663904856321449986</t>
  </si>
  <si>
    <t>3_1685321953819701248</t>
  </si>
  <si>
    <t>7_1645927532384997376</t>
  </si>
  <si>
    <t>3_1676856636579913730</t>
  </si>
  <si>
    <t>3_1679026137115267072</t>
  </si>
  <si>
    <t>3_1672904346076594177</t>
  </si>
  <si>
    <t>3_1643619773404569602</t>
  </si>
  <si>
    <t>7_1649974800192876544</t>
  </si>
  <si>
    <t>3_1642116784483450880</t>
  </si>
  <si>
    <t>3_1675121346060374017</t>
  </si>
  <si>
    <t>7_1668257031961075712</t>
  </si>
  <si>
    <t>7_1661725228966244352</t>
  </si>
  <si>
    <t>7_1700205626838708224</t>
  </si>
  <si>
    <t>7_1700194040484909056</t>
  </si>
  <si>
    <t>7_1699841721398358016</t>
  </si>
  <si>
    <t>7_1699816785191534592</t>
  </si>
  <si>
    <t>7_1699463984988987392</t>
  </si>
  <si>
    <t>7_1704901113915297792</t>
  </si>
  <si>
    <t>7_1703835041770491904</t>
  </si>
  <si>
    <t>7_1704921952408715264</t>
  </si>
  <si>
    <t>7_1703818932266643456</t>
  </si>
  <si>
    <t>7_1699453685636415488</t>
  </si>
  <si>
    <t>7_1699122480923709440</t>
  </si>
  <si>
    <t>7_1613056164056424449</t>
  </si>
  <si>
    <t>3_1701250014087958528</t>
  </si>
  <si>
    <t>7_1637040153632858113</t>
  </si>
  <si>
    <t>7_1614575761624629249</t>
  </si>
  <si>
    <t>7_1657755084468502529</t>
  </si>
  <si>
    <t>3_1620770000817774594</t>
  </si>
  <si>
    <t>3_1685572149413634048</t>
  </si>
  <si>
    <t>7_1611321845877178368</t>
  </si>
  <si>
    <t>7_1609870604915597313</t>
  </si>
  <si>
    <t>7_1701638190535176192</t>
  </si>
  <si>
    <t>7_1701637370515267584</t>
  </si>
  <si>
    <t>7_1688864586919809024</t>
  </si>
  <si>
    <t>7_1690875065653399553</t>
  </si>
  <si>
    <t>7_1626333657936928770</t>
  </si>
  <si>
    <t>3_1631623743557754880</t>
  </si>
  <si>
    <t>7_1701200319529574401</t>
  </si>
  <si>
    <t>7_1678547284785602563</t>
  </si>
  <si>
    <t>16_1636467643572953096</t>
  </si>
  <si>
    <t>16_1636420845588365322</t>
  </si>
  <si>
    <t>16_1636420840362262546</t>
  </si>
  <si>
    <t>7_1687669682868793344</t>
  </si>
  <si>
    <t>3_1640400750659485714</t>
  </si>
  <si>
    <t>3_1615538303775776768</t>
  </si>
  <si>
    <t>3_1641078220106657792</t>
  </si>
  <si>
    <t>7_1611753181536555008</t>
  </si>
  <si>
    <t>7_1647578448888573954</t>
  </si>
  <si>
    <t>7_1647262165240369153</t>
  </si>
  <si>
    <t>3_1668737582946033664</t>
  </si>
  <si>
    <t>3_1686849626475724800</t>
  </si>
  <si>
    <t>7_1630964720717922305</t>
  </si>
  <si>
    <t>7_1640364267462352896</t>
  </si>
  <si>
    <t>3_1687128295047880705</t>
  </si>
  <si>
    <t>3_1663260104592900104</t>
  </si>
  <si>
    <t>7_1633894517173567492</t>
  </si>
  <si>
    <t>7_1633239675522412544</t>
  </si>
  <si>
    <t>7_1633555207278800899</t>
  </si>
  <si>
    <t>7_1633555036419522561</t>
  </si>
  <si>
    <t>3_1703744810937450496</t>
  </si>
  <si>
    <t>3_1644625146198515713</t>
  </si>
  <si>
    <t>7_1701659211258580992</t>
  </si>
  <si>
    <t>3_1618120199651074048</t>
  </si>
  <si>
    <t>7_1630637029158469650</t>
  </si>
  <si>
    <t>7_1681275611208118274</t>
  </si>
  <si>
    <t>7_1684390267162427392</t>
  </si>
  <si>
    <t>7_1672235606531878919</t>
  </si>
  <si>
    <t>7_1694380103109599233</t>
  </si>
  <si>
    <t>7_1694379063228399616</t>
  </si>
  <si>
    <t>7_1688233888856846336</t>
  </si>
  <si>
    <t>7_1696916370045255680</t>
  </si>
  <si>
    <t>7_1616040827523940357</t>
  </si>
  <si>
    <t>3_1663271178058776577</t>
  </si>
  <si>
    <t>7_1628415722039742468</t>
  </si>
  <si>
    <t>7_1701700049472823296</t>
  </si>
  <si>
    <t>7_1703067439863316480</t>
  </si>
  <si>
    <t>7_1703756436176588800</t>
  </si>
  <si>
    <t>7_1634315589673009157</t>
  </si>
  <si>
    <t>3_1656377396155523072</t>
  </si>
  <si>
    <t>7_1668951450976768000</t>
  </si>
  <si>
    <t>7_1657351978853318657</t>
  </si>
  <si>
    <t>7_1686032409949573120</t>
  </si>
  <si>
    <t>7_1657398285131186180</t>
  </si>
  <si>
    <t>7_1692924811335405568</t>
  </si>
  <si>
    <t>7_1692658803378929664</t>
  </si>
  <si>
    <t>7_1692505265344565248</t>
  </si>
  <si>
    <t>7_1697606368658612224</t>
  </si>
  <si>
    <t>7_1691083641982455810</t>
  </si>
  <si>
    <t>7_1704129798300401664</t>
  </si>
  <si>
    <t>7_1697977318587686912</t>
  </si>
  <si>
    <t>7_1697629334171766784</t>
  </si>
  <si>
    <t>7_1691823377634205697</t>
  </si>
  <si>
    <t>7_1691595663803355138</t>
  </si>
  <si>
    <t>7_1691421204274446336</t>
  </si>
  <si>
    <t>7_1690015190203383808</t>
  </si>
  <si>
    <t>7_1689989478381649920</t>
  </si>
  <si>
    <t>7_1704628722043654144</t>
  </si>
  <si>
    <t>7_1704483541810085888</t>
  </si>
  <si>
    <t>7_1698696155394129920</t>
  </si>
  <si>
    <t>7_1692153497431547904</t>
  </si>
  <si>
    <t>7_1687120447417065473</t>
  </si>
  <si>
    <t>7_1686772902736117760</t>
  </si>
  <si>
    <t>7_1662472348098854913</t>
  </si>
  <si>
    <t>3_1682686190284046341</t>
  </si>
  <si>
    <t>7_1674425795568365571</t>
  </si>
  <si>
    <t>3_1658814683099308034</t>
  </si>
  <si>
    <t>3_1679189545672114191</t>
  </si>
  <si>
    <t>3_1678856074483433474</t>
  </si>
  <si>
    <t>3_1678855951992991744</t>
  </si>
  <si>
    <t>7_1678855701823647744</t>
  </si>
  <si>
    <t>13_1687143470266294286</t>
  </si>
  <si>
    <t>7_1633217769503174656</t>
  </si>
  <si>
    <t>3_1634577565015846913</t>
  </si>
  <si>
    <t>3_1633948847855525892</t>
  </si>
  <si>
    <t>7_1637222184539107335</t>
  </si>
  <si>
    <t>7_1682168984316043264</t>
  </si>
  <si>
    <t>3_1658217618891743236</t>
  </si>
  <si>
    <t>3_1623456076208173056</t>
  </si>
  <si>
    <t>3_1691925395816226816</t>
  </si>
  <si>
    <t>3_1695134052855033856</t>
  </si>
  <si>
    <t>3_1685063551327567872</t>
  </si>
  <si>
    <t>3_1698534228755890176</t>
  </si>
  <si>
    <t>3_1627914357559492608</t>
  </si>
  <si>
    <t>7_1647761053034348545</t>
  </si>
  <si>
    <t>7_1612480570025545730</t>
  </si>
  <si>
    <t>3_1672371020374724610</t>
  </si>
  <si>
    <t>3_1633463461157142531</t>
  </si>
  <si>
    <t>3_1619027912908509184</t>
  </si>
  <si>
    <t>3_1704459124010795008</t>
  </si>
  <si>
    <t>3_1704832350440308736</t>
  </si>
  <si>
    <t>3_1705299270818058240</t>
  </si>
  <si>
    <t>7_1611124609658589197</t>
  </si>
  <si>
    <t>7_1615538044970455040</t>
  </si>
  <si>
    <t>7_1616541185434157088</t>
  </si>
  <si>
    <t>7_1654184308976898051</t>
  </si>
  <si>
    <t>7_1649518586824728580</t>
  </si>
  <si>
    <t>7_1649110905748062218</t>
  </si>
  <si>
    <t>7_1648023712954810368</t>
  </si>
  <si>
    <t>3_1623788973251260420</t>
  </si>
  <si>
    <t>7_1675565167877279744</t>
  </si>
  <si>
    <t>7_1675474592050102274</t>
  </si>
  <si>
    <t>7_1675217887957512193</t>
  </si>
  <si>
    <t>7_1674749821230407680</t>
  </si>
  <si>
    <t>7_1674462915707928576</t>
  </si>
  <si>
    <t>7_1674372341575438336</t>
  </si>
  <si>
    <t>7_1674145832189214720</t>
  </si>
  <si>
    <t>7_1674115610668683275</t>
  </si>
  <si>
    <t>3_1629949517918355457</t>
  </si>
  <si>
    <t>7_1673707936277831682</t>
  </si>
  <si>
    <t>7_1673677740841607172</t>
  </si>
  <si>
    <t>7_1673451312636125185</t>
  </si>
  <si>
    <t>7_1673421102184296457</t>
  </si>
  <si>
    <t>7_1673390860904308766</t>
  </si>
  <si>
    <t>7_1673360660183359489</t>
  </si>
  <si>
    <t>7_1673330472179453954</t>
  </si>
  <si>
    <t>7_1673300261362708482</t>
  </si>
  <si>
    <t>7_1673073768242053124</t>
  </si>
  <si>
    <t>7_1673043534721474560</t>
  </si>
  <si>
    <t>7_1673013286680363013</t>
  </si>
  <si>
    <t>7_1672983176216551425</t>
  </si>
  <si>
    <t>7_1672952989605142539</t>
  </si>
  <si>
    <t>7_1672922781669810178</t>
  </si>
  <si>
    <t>7_1672575456413974528</t>
  </si>
  <si>
    <t>7_1652734773092032513</t>
  </si>
  <si>
    <t>7_1652010002314346502</t>
  </si>
  <si>
    <t>7_1651647610640277527</t>
  </si>
  <si>
    <t>7_1675127287082041345</t>
  </si>
  <si>
    <t>7_1674840414862360578</t>
  </si>
  <si>
    <t>7_1674085421096005634</t>
  </si>
  <si>
    <t>7_1674055249055690753</t>
  </si>
  <si>
    <t>7_1674025031695843331</t>
  </si>
  <si>
    <t>7_1673828727703085057</t>
  </si>
  <si>
    <t>7_1673798579318652928</t>
  </si>
  <si>
    <t>7_1673768325422129157</t>
  </si>
  <si>
    <t>7_1673738117499568132</t>
  </si>
  <si>
    <t>3_1663370761296330754</t>
  </si>
  <si>
    <t>3_1682057090267856898</t>
  </si>
  <si>
    <t>3_1678718296412020737</t>
  </si>
  <si>
    <t>3_1645971896331116545</t>
  </si>
  <si>
    <t>3_1624067778201194496</t>
  </si>
  <si>
    <t>7_1678106759435632641</t>
  </si>
  <si>
    <t>7_1663727824358744066</t>
  </si>
  <si>
    <t>3_1699788816293478400</t>
  </si>
  <si>
    <t>7_1686804843355164672</t>
  </si>
  <si>
    <t>7_1686802726720598022</t>
  </si>
  <si>
    <t>7_1686801776903680006</t>
  </si>
  <si>
    <t>3_1655693667623923713</t>
  </si>
  <si>
    <t>7_1637062060600066051</t>
  </si>
  <si>
    <t>3_1615763792356311051</t>
  </si>
  <si>
    <t>7_1699141598557192193</t>
  </si>
  <si>
    <t>3_1622723917650575361</t>
  </si>
  <si>
    <t>7_1689333199459991553</t>
  </si>
  <si>
    <t>7_1689029363751141376</t>
  </si>
  <si>
    <t>7_1690168519130828801</t>
  </si>
  <si>
    <t>7_1690076494339448832</t>
  </si>
  <si>
    <t>7_1690809842095607808</t>
  </si>
  <si>
    <t>7_1690507093298610176</t>
  </si>
  <si>
    <t>7_1691233079627571202</t>
  </si>
  <si>
    <t>7_1688433567062204416</t>
  </si>
  <si>
    <t>3_1659986638150459392</t>
  </si>
  <si>
    <t>7_1623107146677121027</t>
  </si>
  <si>
    <t>3_1648541774523015168 3_1648541774535688192 3_1648541774527225857 3_1648541774518820865</t>
  </si>
  <si>
    <t>16_1654431835852533760</t>
  </si>
  <si>
    <t>3_1668561847107346432</t>
  </si>
  <si>
    <t>3_1693709019838345216</t>
  </si>
  <si>
    <t>3_1631130609199316992 3_1631130609195134976 3_1631130609199333377</t>
  </si>
  <si>
    <t>3_1618013774765490176</t>
  </si>
  <si>
    <t>3_1616135273900802062</t>
  </si>
  <si>
    <t>3_1627673910614319106</t>
  </si>
  <si>
    <t>3_1627673616862130177</t>
  </si>
  <si>
    <t>3_1627673261717745666</t>
  </si>
  <si>
    <t>3_1615844302344658945 3_1615844306660610048 3_1615844310959661059</t>
  </si>
  <si>
    <t>3_1640182914963984385</t>
  </si>
  <si>
    <t>3_1640181835505213440</t>
  </si>
  <si>
    <t>7_1698880117248856064</t>
  </si>
  <si>
    <t>3_1700984181273374721</t>
  </si>
  <si>
    <t>3_1648303813617393667</t>
  </si>
  <si>
    <t>3_1647580284240515075</t>
  </si>
  <si>
    <t>3_1645376249626345472</t>
  </si>
  <si>
    <t>3_1679594331865268224</t>
  </si>
  <si>
    <t>3_1666085674297225220</t>
  </si>
  <si>
    <t>7_1690891525784272896</t>
  </si>
  <si>
    <t>7_1657004234540236800</t>
  </si>
  <si>
    <t>7_1690808938432790528</t>
  </si>
  <si>
    <t>7_1695859220103483392</t>
  </si>
  <si>
    <t>7_1695118338328838144</t>
  </si>
  <si>
    <t>3_1704464114536390656</t>
  </si>
  <si>
    <t>3_1650791066721812480</t>
  </si>
  <si>
    <t>3_1633034586711113728</t>
  </si>
  <si>
    <t>3_1677322428224004100</t>
  </si>
  <si>
    <t>3_1658787622578270210</t>
  </si>
  <si>
    <t>3_1682368944080814081</t>
  </si>
  <si>
    <t>3_1669314008346763265 3_1669314008128581632 3_1669314008350965760 3_1669314008095006723</t>
  </si>
  <si>
    <t>3_1664965339111718912 3_1664965339220701184 3_1664965339216502785 3_1664965339040366594</t>
  </si>
  <si>
    <t>3_1629465101886472192</t>
  </si>
  <si>
    <t>7_1645507419726905353</t>
  </si>
  <si>
    <t>3_1670794207676493831</t>
  </si>
  <si>
    <t>3_1692192380990922752</t>
  </si>
  <si>
    <t>3_1679183580029657088</t>
  </si>
  <si>
    <t>3_1661364498723110912</t>
  </si>
  <si>
    <t>3_1697326688344948736</t>
  </si>
  <si>
    <t>3_1696892225685217281</t>
  </si>
  <si>
    <t>3_1632774187969388544</t>
  </si>
  <si>
    <t>3_1704949417617338368</t>
  </si>
  <si>
    <t>3_1703823339444477952</t>
  </si>
  <si>
    <t>7_1645963910535688192</t>
  </si>
  <si>
    <t>3_1658002226198061057 3_1658002229867995139 3_1658002233961619457</t>
  </si>
  <si>
    <t>3_1675146801253416960</t>
  </si>
  <si>
    <t>7_1579567084069130251</t>
  </si>
  <si>
    <t>3_1631695075741663238</t>
  </si>
  <si>
    <t>3_1400060431444623364</t>
  </si>
  <si>
    <t>3_1400065483047636996</t>
  </si>
  <si>
    <t>3_1423408128108998663</t>
  </si>
  <si>
    <t>3_1633208753578209282</t>
  </si>
  <si>
    <t>3_1623310211657134081</t>
  </si>
  <si>
    <t>3_1701005100708515840</t>
  </si>
  <si>
    <t>3_1689062806350450688 3_1689062806358761472 3_1689062806337859584</t>
  </si>
  <si>
    <t>7_1697614102573490176</t>
  </si>
  <si>
    <t>3_1678988449615888385</t>
  </si>
  <si>
    <t>3_1613818734061228033</t>
  </si>
  <si>
    <t>3_1643373709829324802</t>
  </si>
  <si>
    <t>3_1682950821833572352</t>
  </si>
  <si>
    <t>3_1682939339972530177</t>
  </si>
  <si>
    <t>3_1683663015026081792</t>
  </si>
  <si>
    <t>3_1682928636326825984</t>
  </si>
  <si>
    <t>3_1613895530932748290</t>
  </si>
  <si>
    <t>7_1613244604895358976</t>
  </si>
  <si>
    <t>7_1647223726541291526</t>
  </si>
  <si>
    <t>7_1668829641300230144</t>
  </si>
  <si>
    <t>7_1668747238305038346</t>
  </si>
  <si>
    <t>7_1682169595598188544</t>
  </si>
  <si>
    <t>7_1616283251970031616</t>
  </si>
  <si>
    <t>7_1655281073226383360</t>
  </si>
  <si>
    <t>3_1630011992206352384</t>
  </si>
  <si>
    <t>3_1668211781997568000</t>
  </si>
  <si>
    <t>3_1678565886989328384</t>
  </si>
  <si>
    <t>7_1690510204662624256</t>
  </si>
  <si>
    <t>7_1690202931675418625</t>
  </si>
  <si>
    <t>7_1690051730132606984</t>
  </si>
  <si>
    <t>7_1690001254179618818</t>
  </si>
  <si>
    <t>7_1616646907312439300</t>
  </si>
  <si>
    <t>1616643193059299328</t>
  </si>
  <si>
    <t>1682097208659673089</t>
  </si>
  <si>
    <t>1619160937843535872</t>
  </si>
  <si>
    <t>1675097098369355776</t>
  </si>
  <si>
    <t>1699738028321673512</t>
  </si>
  <si>
    <t>1696111633217536166</t>
  </si>
  <si>
    <t>1642272697794142208</t>
  </si>
  <si>
    <t>1611184797396922369</t>
  </si>
  <si>
    <t>1704147551874863593</t>
  </si>
  <si>
    <t>1682090373974204430</t>
  </si>
  <si>
    <t>1676593935479721984</t>
  </si>
  <si>
    <t>1620774120505081857</t>
  </si>
  <si>
    <t>1674071776073072643</t>
  </si>
  <si>
    <t>1612875772598820864</t>
  </si>
  <si>
    <t>1657794016728023041</t>
  </si>
  <si>
    <t>1669145395992096769</t>
  </si>
  <si>
    <t>1616541229017169952</t>
  </si>
  <si>
    <t>1614045219330064392</t>
  </si>
  <si>
    <t>1633943796336545792</t>
  </si>
  <si>
    <t>1650786736262316032</t>
  </si>
  <si>
    <t>1630023201357979653</t>
  </si>
  <si>
    <t>1667687712822788096</t>
  </si>
  <si>
    <t>1694303478049288698</t>
  </si>
  <si>
    <t>1695028248772538877</t>
  </si>
  <si>
    <t>1696847733439521238</t>
  </si>
  <si>
    <t>1696601604005282239</t>
  </si>
  <si>
    <t>1614382536196505600</t>
  </si>
  <si>
    <t>1662449003559104516</t>
  </si>
  <si>
    <t>1673598677594546178</t>
  </si>
  <si>
    <t>1634147587455348736</t>
  </si>
  <si>
    <t>1615354532501897216</t>
  </si>
  <si>
    <t>1655247719064129536</t>
  </si>
  <si>
    <t>1692253573764063674</t>
  </si>
  <si>
    <t>1683235624092942338</t>
  </si>
  <si>
    <t>1679543107845496835</t>
  </si>
  <si>
    <t>1652736299294502913</t>
  </si>
  <si>
    <t>1704573324024500378</t>
  </si>
  <si>
    <t>1675899050313281537</t>
  </si>
  <si>
    <t>1671577846328745986</t>
  </si>
  <si>
    <t>1639404548820291584</t>
  </si>
  <si>
    <t>1682773407287369736</t>
  </si>
  <si>
    <t>1616541229843447823</t>
  </si>
  <si>
    <t>1638249517437841414</t>
  </si>
  <si>
    <t>1629618687186444288</t>
  </si>
  <si>
    <t>1628398571497177089</t>
  </si>
  <si>
    <t>1635331166869016576</t>
  </si>
  <si>
    <t>1631722851559694337</t>
  </si>
  <si>
    <t>1630953682303893512</t>
  </si>
  <si>
    <t>1613882561767301121</t>
  </si>
  <si>
    <t>1647970671731912704</t>
  </si>
  <si>
    <t>1641811112998871043</t>
  </si>
  <si>
    <t>1610605306941145089</t>
  </si>
  <si>
    <t>1656281403540094976</t>
  </si>
  <si>
    <t>1655543073877942273</t>
  </si>
  <si>
    <t>1687433198618468352</t>
  </si>
  <si>
    <t>1653061545675333634</t>
  </si>
  <si>
    <t>1636018616276582414</t>
  </si>
  <si>
    <t>1697598865598189633</t>
  </si>
  <si>
    <t>1688520364639617024</t>
  </si>
  <si>
    <t>1637997674677911553</t>
  </si>
  <si>
    <t>1629904408984035338</t>
  </si>
  <si>
    <t>1695527070766428377</t>
  </si>
  <si>
    <t>1661229892157964288</t>
  </si>
  <si>
    <t>1646621633296183296</t>
  </si>
  <si>
    <t>1660290414434213889</t>
  </si>
  <si>
    <t>1623707069160226816</t>
  </si>
  <si>
    <t>1622657117982171136</t>
  </si>
  <si>
    <t>1694641949058187775</t>
  </si>
  <si>
    <t>1692956063509708964</t>
  </si>
  <si>
    <t>1622994106745061376</t>
  </si>
  <si>
    <t>1691602378816913435</t>
  </si>
  <si>
    <t>1691602071865135486</t>
  </si>
  <si>
    <t>1691301964804509697</t>
  </si>
  <si>
    <t>1699372370476073390</t>
  </si>
  <si>
    <t>1668688935537483778</t>
  </si>
  <si>
    <t>1671656483287695362</t>
  </si>
  <si>
    <t>1671486311008460800</t>
  </si>
  <si>
    <t>1673423428580175877</t>
  </si>
  <si>
    <t>1672976193191116800</t>
  </si>
  <si>
    <t>1684524066135322624</t>
  </si>
  <si>
    <t>1670952840309637121</t>
  </si>
  <si>
    <t>1619312180855447553</t>
  </si>
  <si>
    <t>1615008391289511939</t>
  </si>
  <si>
    <t>1614302369889636354</t>
  </si>
  <si>
    <t>1616442361651023880</t>
  </si>
  <si>
    <t>1617312403334594563</t>
  </si>
  <si>
    <t>1617956438416187392</t>
  </si>
  <si>
    <t>1703415874764276022</t>
  </si>
  <si>
    <t>1680910403373604866</t>
  </si>
  <si>
    <t>1644727961201913856</t>
  </si>
  <si>
    <t>1641104499824635904</t>
  </si>
  <si>
    <t>1629272028774539265</t>
  </si>
  <si>
    <t>1638920132629090304</t>
  </si>
  <si>
    <t>1650241005063491590</t>
  </si>
  <si>
    <t>1648373354657726480</t>
  </si>
  <si>
    <t>1672198510353973249</t>
  </si>
  <si>
    <t>1672198499864125441</t>
  </si>
  <si>
    <t>1674072727752253441</t>
  </si>
  <si>
    <t>1613189306356584448</t>
  </si>
  <si>
    <t>1612814842896736259</t>
  </si>
  <si>
    <t>1634628747784486918</t>
  </si>
  <si>
    <t>1634321724496814081</t>
  </si>
  <si>
    <t>1635831602990182404</t>
  </si>
  <si>
    <t>1635778411607015427</t>
  </si>
  <si>
    <t>1635422348923813888</t>
  </si>
  <si>
    <t>1635104706392621057</t>
  </si>
  <si>
    <t>1634968830173941763</t>
  </si>
  <si>
    <t>1667266288098369536</t>
  </si>
  <si>
    <t>1666890309651816464</t>
  </si>
  <si>
    <t>1660351962489954314</t>
  </si>
  <si>
    <t>1660036321140781064</t>
  </si>
  <si>
    <t>1659697583609233409</t>
  </si>
  <si>
    <t>1659336489526874114</t>
  </si>
  <si>
    <t>1657155213835354112</t>
  </si>
  <si>
    <t>1654249144532316161</t>
  </si>
  <si>
    <t>1653894582084460546</t>
  </si>
  <si>
    <t>1653518660953157638</t>
  </si>
  <si>
    <t>1653182584480755716</t>
  </si>
  <si>
    <t>1649961124148723712</t>
  </si>
  <si>
    <t>1649868851067191298</t>
  </si>
  <si>
    <t>1649448514613592066</t>
  </si>
  <si>
    <t>1649226296726024192</t>
  </si>
  <si>
    <t>1649151636688760832</t>
  </si>
  <si>
    <t>1648842164577656832</t>
  </si>
  <si>
    <t>1648476249822744581</t>
  </si>
  <si>
    <t>1641591935520366593</t>
  </si>
  <si>
    <t>1641233950520627200</t>
  </si>
  <si>
    <t>1640854893085835270</t>
  </si>
  <si>
    <t>1640536314331164672</t>
  </si>
  <si>
    <t>1673450324802039808</t>
  </si>
  <si>
    <t>1673044861514031106</t>
  </si>
  <si>
    <t>1663316101550178307</t>
  </si>
  <si>
    <t>1662865958078230533</t>
  </si>
  <si>
    <t>1662515234068725762</t>
  </si>
  <si>
    <t>1661864054686720000</t>
  </si>
  <si>
    <t>1661503092897075201</t>
  </si>
  <si>
    <t>1661142432753528833</t>
  </si>
  <si>
    <t>1660769992802025473</t>
  </si>
  <si>
    <t>1653093282681872413</t>
  </si>
  <si>
    <t>1652750345271926785</t>
  </si>
  <si>
    <t>1652397558826774528</t>
  </si>
  <si>
    <t>1652086660337659911</t>
  </si>
  <si>
    <t>1651725436412461056</t>
  </si>
  <si>
    <t>1651371843117281283</t>
  </si>
  <si>
    <t>1651021328235765763</t>
  </si>
  <si>
    <t>1650674807627759617</t>
  </si>
  <si>
    <t>1650568742357590025</t>
  </si>
  <si>
    <t>1650312438548516865</t>
  </si>
  <si>
    <t>1650199928612823040</t>
  </si>
  <si>
    <t>1640151900552151040</t>
  </si>
  <si>
    <t>1640031336797708293</t>
  </si>
  <si>
    <t>1639792272584630274</t>
  </si>
  <si>
    <t>1639698011801415680</t>
  </si>
  <si>
    <t>1639409150772772864</t>
  </si>
  <si>
    <t>1639086143269638144</t>
  </si>
  <si>
    <t>1639033814751014913</t>
  </si>
  <si>
    <t>1638704934483902465</t>
  </si>
  <si>
    <t>1638667862272352257</t>
  </si>
  <si>
    <t>1638303252809764866</t>
  </si>
  <si>
    <t>1638002213036457984</t>
  </si>
  <si>
    <t>1637645455520591875</t>
  </si>
  <si>
    <t>1637479160321900544</t>
  </si>
  <si>
    <t>1637215000048680961</t>
  </si>
  <si>
    <t>1637136475081900037</t>
  </si>
  <si>
    <t>1636859502417915906</t>
  </si>
  <si>
    <t>1636566231342895104</t>
  </si>
  <si>
    <t>1636499779554254851</t>
  </si>
  <si>
    <t>1636499680451260417</t>
  </si>
  <si>
    <t>1636142782766039042</t>
  </si>
  <si>
    <t>1673837788955811848</t>
  </si>
  <si>
    <t>1670928718229909509</t>
  </si>
  <si>
    <t>1670522422330523648</t>
  </si>
  <si>
    <t>1670241144259637252</t>
  </si>
  <si>
    <t>1669834894619422725</t>
  </si>
  <si>
    <t>1669467292436922368</t>
  </si>
  <si>
    <t>1669100853708443650</t>
  </si>
  <si>
    <t>1666565714747031552</t>
  </si>
  <si>
    <t>1666209786898071557</t>
  </si>
  <si>
    <t>1665426174779052032</t>
  </si>
  <si>
    <t>1664762642722856960</t>
  </si>
  <si>
    <t>1664400141011353600</t>
  </si>
  <si>
    <t>1664032812113035266</t>
  </si>
  <si>
    <t>1656808375223451650</t>
  </si>
  <si>
    <t>1656431571631570947</t>
  </si>
  <si>
    <t>1656065011192569866</t>
  </si>
  <si>
    <t>1655711025813913600</t>
  </si>
  <si>
    <t>1655375549122899968</t>
  </si>
  <si>
    <t>1655303022858076164</t>
  </si>
  <si>
    <t>1654925407664103428</t>
  </si>
  <si>
    <t>1654622898554822656</t>
  </si>
  <si>
    <t>1644490347819442177</t>
  </si>
  <si>
    <t>1644406059086356480</t>
  </si>
  <si>
    <t>1644121017743179777</t>
  </si>
  <si>
    <t>1643749489273110528</t>
  </si>
  <si>
    <t>1643035097937879040</t>
  </si>
  <si>
    <t>1642704319156723712</t>
  </si>
  <si>
    <t>1642639213333032961</t>
  </si>
  <si>
    <t>1642565829760897025</t>
  </si>
  <si>
    <t>1642295365255700481</t>
  </si>
  <si>
    <t>1642233885978251265</t>
  </si>
  <si>
    <t>1641956420223377409</t>
  </si>
  <si>
    <t>1674549864527548423</t>
  </si>
  <si>
    <t>1674196022082322435</t>
  </si>
  <si>
    <t>1672360495377006592</t>
  </si>
  <si>
    <t>1672000602962817024</t>
  </si>
  <si>
    <t>1671644831737585666</t>
  </si>
  <si>
    <t>1671644310566051842</t>
  </si>
  <si>
    <t>1671278506590781443</t>
  </si>
  <si>
    <t>1668737114383548416</t>
  </si>
  <si>
    <t>1668377133448671236</t>
  </si>
  <si>
    <t>1667949779446296576</t>
  </si>
  <si>
    <t>1658964230182260737</t>
  </si>
  <si>
    <t>1658595549149376512</t>
  </si>
  <si>
    <t>1658248056108732417</t>
  </si>
  <si>
    <t>1657812771382099982</t>
  </si>
  <si>
    <t>1657524301979951105</t>
  </si>
  <si>
    <t>1647784528126046209</t>
  </si>
  <si>
    <t>1647335514981163012</t>
  </si>
  <si>
    <t>1647017940766556161</t>
  </si>
  <si>
    <t>1646661158382845957</t>
  </si>
  <si>
    <t>1646294145655291908</t>
  </si>
  <si>
    <t>1645918464446541824</t>
  </si>
  <si>
    <t>1645550271324463105</t>
  </si>
  <si>
    <t>1645138154989445120</t>
  </si>
  <si>
    <t>1644864142220615680</t>
  </si>
  <si>
    <t>1644814737916456962</t>
  </si>
  <si>
    <t>1643652552267792386</t>
  </si>
  <si>
    <t>1670776088027430915</t>
  </si>
  <si>
    <t>1698788955766792351</t>
  </si>
  <si>
    <t>1698670621788385592</t>
  </si>
  <si>
    <t>1704630838418096247</t>
  </si>
  <si>
    <t>1701981216856055996</t>
  </si>
  <si>
    <t>1657057197002465281</t>
  </si>
  <si>
    <t>1610598602220662784</t>
  </si>
  <si>
    <t>1625707339943710721</t>
  </si>
  <si>
    <t>1691919288360419689</t>
  </si>
  <si>
    <t>1649120842247176193</t>
  </si>
  <si>
    <t>1679570263212425216</t>
  </si>
  <si>
    <t>1620122180091789315</t>
  </si>
  <si>
    <t>1644732509119295488</t>
  </si>
  <si>
    <t>1652749899358777347</t>
  </si>
  <si>
    <t>1677770923972108290</t>
  </si>
  <si>
    <t>1622364483984232449</t>
  </si>
  <si>
    <t>1610346293431345152</t>
  </si>
  <si>
    <t>1701477534733381749</t>
  </si>
  <si>
    <t>1636370805008515074</t>
  </si>
  <si>
    <t>1643196969546833920</t>
  </si>
  <si>
    <t>1686844843555803136</t>
  </si>
  <si>
    <t>1643780568012713985</t>
  </si>
  <si>
    <t>1652738010797023232</t>
  </si>
  <si>
    <t>1637094141912928256</t>
  </si>
  <si>
    <t>1637235626104741888</t>
  </si>
  <si>
    <t>1685025044404088833</t>
  </si>
  <si>
    <t>1685993653993459717</t>
  </si>
  <si>
    <t>1622746500848664579</t>
  </si>
  <si>
    <t>1613413739478540288</t>
  </si>
  <si>
    <t>1635981900341825540</t>
  </si>
  <si>
    <t>1643289893525766145</t>
  </si>
  <si>
    <t>1692262699227402402</t>
  </si>
  <si>
    <t>1678066135541981184</t>
  </si>
  <si>
    <t>1642099547005394946</t>
  </si>
  <si>
    <t>1668592434429804545</t>
  </si>
  <si>
    <t>1627622774733676544</t>
  </si>
  <si>
    <t>1625089466049171457</t>
  </si>
  <si>
    <t>1612834459044167680</t>
  </si>
  <si>
    <t>1612062912553652225</t>
  </si>
  <si>
    <t>1645381391700336640</t>
  </si>
  <si>
    <t>1642635314479915009</t>
  </si>
  <si>
    <t>1693236207050723810</t>
  </si>
  <si>
    <t>1628741618466447361</t>
  </si>
  <si>
    <t>1684583617966604288</t>
  </si>
  <si>
    <t>1675535229837082625</t>
  </si>
  <si>
    <t>1699468522051506621</t>
  </si>
  <si>
    <t>1662250894887354370</t>
  </si>
  <si>
    <t>1662250622475804673</t>
  </si>
  <si>
    <t>1662250231931568129</t>
  </si>
  <si>
    <t>1646677042002362368</t>
  </si>
  <si>
    <t>1657128415772770306</t>
  </si>
  <si>
    <t>1670129986001424385</t>
  </si>
  <si>
    <t>1679327237068279810</t>
  </si>
  <si>
    <t>1689014029170122753</t>
  </si>
  <si>
    <t>1630575612346630144</t>
  </si>
  <si>
    <t>1676931071429029889</t>
  </si>
  <si>
    <t>1672867600550723585</t>
  </si>
  <si>
    <t>1637163230866075648</t>
  </si>
  <si>
    <t>1625616128708845583</t>
  </si>
  <si>
    <t>1646490449090351104</t>
  </si>
  <si>
    <t>1653481420071870465</t>
  </si>
  <si>
    <t>1616085262345588740</t>
  </si>
  <si>
    <t>1648739851879972878</t>
  </si>
  <si>
    <t>1646299750075858946</t>
  </si>
  <si>
    <t>1655862626667180033</t>
  </si>
  <si>
    <t>1653202363371651072</t>
  </si>
  <si>
    <t>1704933630013763810</t>
  </si>
  <si>
    <t>1696593418938470603</t>
  </si>
  <si>
    <t>1692867868960956580</t>
  </si>
  <si>
    <t>1623759476166631424</t>
  </si>
  <si>
    <t>1642294064664985600</t>
  </si>
  <si>
    <t>1688146636353003520</t>
  </si>
  <si>
    <t>1701568864146866536</t>
  </si>
  <si>
    <t>1701003712901353728</t>
  </si>
  <si>
    <t>1665083391354519554</t>
  </si>
  <si>
    <t>1690891746186506241</t>
  </si>
  <si>
    <t>1638633885062889472</t>
  </si>
  <si>
    <t>1637205428902739970</t>
  </si>
  <si>
    <t>1637202133563891712</t>
  </si>
  <si>
    <t>1636475748482441216</t>
  </si>
  <si>
    <t>1636226114115829760</t>
  </si>
  <si>
    <t>1636219724580126720</t>
  </si>
  <si>
    <t>1643567767553966080</t>
  </si>
  <si>
    <t>1658652294433439745</t>
  </si>
  <si>
    <t>1648719812359602178</t>
  </si>
  <si>
    <t>1663904860008325123</t>
  </si>
  <si>
    <t>1685321957212819456</t>
  </si>
  <si>
    <t>1643946962092273664</t>
  </si>
  <si>
    <t>1645927585619013634</t>
  </si>
  <si>
    <t>1619146703676010496</t>
  </si>
  <si>
    <t>1616841632548098053</t>
  </si>
  <si>
    <t>1676856745531158528</t>
  </si>
  <si>
    <t>1679027027943514112</t>
  </si>
  <si>
    <t>1672904676008931328</t>
  </si>
  <si>
    <t>1653041337409888256</t>
  </si>
  <si>
    <t>1643619780648116228</t>
  </si>
  <si>
    <t>1649974924558073857</t>
  </si>
  <si>
    <t>1642743728204021764</t>
  </si>
  <si>
    <t>1609706621298511872</t>
  </si>
  <si>
    <t>1638170556733493253</t>
  </si>
  <si>
    <t>1649013663813058560</t>
  </si>
  <si>
    <t>1612612975310917632</t>
  </si>
  <si>
    <t>1668780598884704256</t>
  </si>
  <si>
    <t>1685039693912584193</t>
  </si>
  <si>
    <t>1642215011811577861</t>
  </si>
  <si>
    <t>1673722654111457281</t>
  </si>
  <si>
    <t>1675121371414925312</t>
  </si>
  <si>
    <t>1668271951687630853</t>
  </si>
  <si>
    <t>1628541160850350080</t>
  </si>
  <si>
    <t>1661725333677023238</t>
  </si>
  <si>
    <t>1700205690105569384</t>
  </si>
  <si>
    <t>1700194103542091855</t>
  </si>
  <si>
    <t>1699841805691314671</t>
  </si>
  <si>
    <t>1699816869350256913</t>
  </si>
  <si>
    <t>1699464069047046438</t>
  </si>
  <si>
    <t>1704901197419700289</t>
  </si>
  <si>
    <t>1703835147085193336</t>
  </si>
  <si>
    <t>1704922015763714149</t>
  </si>
  <si>
    <t>1703818995487388149</t>
  </si>
  <si>
    <t>1699453748832026918</t>
  </si>
  <si>
    <t>1699122565212516607</t>
  </si>
  <si>
    <t>1613056217739579394</t>
  </si>
  <si>
    <t>1680955515558416384</t>
  </si>
  <si>
    <t>1701250016268980678</t>
  </si>
  <si>
    <t>1681858675864920064</t>
  </si>
  <si>
    <t>1637040199145234432</t>
  </si>
  <si>
    <t>1614575801126494208</t>
  </si>
  <si>
    <t>1657755167414968321</t>
  </si>
  <si>
    <t>1693041503600271399</t>
  </si>
  <si>
    <t>1621656104966197250</t>
  </si>
  <si>
    <t>1620770005024661507</t>
  </si>
  <si>
    <t>1685572154387992576</t>
  </si>
  <si>
    <t>1611321927397961728</t>
  </si>
  <si>
    <t>1609870670040555520</t>
  </si>
  <si>
    <t>1701638626709291151</t>
  </si>
  <si>
    <t>1701637917158871440</t>
  </si>
  <si>
    <t>1688864648035000320</t>
  </si>
  <si>
    <t>1675181734948741123</t>
  </si>
  <si>
    <t>1690875124478595072</t>
  </si>
  <si>
    <t>1626333754821169152</t>
  </si>
  <si>
    <t>1634143592712208385</t>
  </si>
  <si>
    <t>1643091173416792067</t>
  </si>
  <si>
    <t>1650665480267390976</t>
  </si>
  <si>
    <t>1631623753661837313</t>
  </si>
  <si>
    <t>1701200350676414555</t>
  </si>
  <si>
    <t>1624713895741992964</t>
  </si>
  <si>
    <t>1678547409490571265</t>
  </si>
  <si>
    <t>1636467649235263509</t>
  </si>
  <si>
    <t>1636420877200896006</t>
  </si>
  <si>
    <t>1636420874319347725</t>
  </si>
  <si>
    <t>1636420871135870993</t>
  </si>
  <si>
    <t>1636420868308910093</t>
  </si>
  <si>
    <t>1636420865570029591</t>
  </si>
  <si>
    <t>1636420862344609832</t>
  </si>
  <si>
    <t>1636420857726681096</t>
  </si>
  <si>
    <t>1678712511716098048</t>
  </si>
  <si>
    <t>1701169257948541278</t>
  </si>
  <si>
    <t>1687669713101307904</t>
  </si>
  <si>
    <t>1640401241623740421</t>
  </si>
  <si>
    <t>1615539427865989120</t>
  </si>
  <si>
    <t>1617494082355437568</t>
  </si>
  <si>
    <t>1628529298440167444</t>
  </si>
  <si>
    <t>1700653737927131148</t>
  </si>
  <si>
    <t>1700652384043880530</t>
  </si>
  <si>
    <t>1700643170214621406</t>
  </si>
  <si>
    <t>1641078225286619144</t>
  </si>
  <si>
    <t>1611753214067474434</t>
  </si>
  <si>
    <t>1647578773460594688</t>
  </si>
  <si>
    <t>1647262422762176512</t>
  </si>
  <si>
    <t>1668737590495703042</t>
  </si>
  <si>
    <t>1686849633996124160</t>
  </si>
  <si>
    <t>1630965022926028802</t>
  </si>
  <si>
    <t>1640364488573558788</t>
  </si>
  <si>
    <t>1687128657372774402</t>
  </si>
  <si>
    <t>1663938004405170176</t>
  </si>
  <si>
    <t>1663260127120568320</t>
  </si>
  <si>
    <t>1633894556390309909</t>
  </si>
  <si>
    <t>1633239738508296192</t>
  </si>
  <si>
    <t>1633555257622929410</t>
  </si>
  <si>
    <t>1633555122033655809</t>
  </si>
  <si>
    <t>1703744879153594517</t>
  </si>
  <si>
    <t>1644625653965238272</t>
  </si>
  <si>
    <t>1701659257660207177</t>
  </si>
  <si>
    <t>1623462042999947264</t>
  </si>
  <si>
    <t>1618336951035109377</t>
  </si>
  <si>
    <t>1675534805797093376</t>
  </si>
  <si>
    <t>1675467101233094657</t>
  </si>
  <si>
    <t>1675263258037727232</t>
  </si>
  <si>
    <t>1674810026408439808</t>
  </si>
  <si>
    <t>1674749627378049025</t>
  </si>
  <si>
    <t>1674543766986801152</t>
  </si>
  <si>
    <t>1674452918420877318</t>
  </si>
  <si>
    <t>1674392017206407174</t>
  </si>
  <si>
    <t>1674180120783867911</t>
  </si>
  <si>
    <t>1676557284611354624</t>
  </si>
  <si>
    <t>1676349666361856002</t>
  </si>
  <si>
    <t>1676260328169148418</t>
  </si>
  <si>
    <t>1676197916569133057</t>
  </si>
  <si>
    <t>1675989543726759936</t>
  </si>
  <si>
    <t>1675897688674508806</t>
  </si>
  <si>
    <t>1675830495811100674</t>
  </si>
  <si>
    <t>1675626401225900032</t>
  </si>
  <si>
    <t>1673725625977405443</t>
  </si>
  <si>
    <t>1673664977029169152</t>
  </si>
  <si>
    <t>1673453080300384257</t>
  </si>
  <si>
    <t>1673362231847731201</t>
  </si>
  <si>
    <t>1673301331233103872</t>
  </si>
  <si>
    <t>1673089434437419008</t>
  </si>
  <si>
    <t>1672604310272655360</t>
  </si>
  <si>
    <t>1676625735614881793</t>
  </si>
  <si>
    <t>1675172413322014720</t>
  </si>
  <si>
    <t>1675103958204030978</t>
  </si>
  <si>
    <t>1674900627619557379</t>
  </si>
  <si>
    <t>1674089272666619908</t>
  </si>
  <si>
    <t>1674028371070558208</t>
  </si>
  <si>
    <t>1673816726373384193</t>
  </si>
  <si>
    <t>1618120202893557761</t>
  </si>
  <si>
    <t>1618118276101570561</t>
  </si>
  <si>
    <t>1630638888476712960</t>
  </si>
  <si>
    <t>1626216251021467648</t>
  </si>
  <si>
    <t>1681275670486188034</t>
  </si>
  <si>
    <t>1684390534553505792</t>
  </si>
  <si>
    <t>1672235645056565255</t>
  </si>
  <si>
    <t>1694380177524965489</t>
  </si>
  <si>
    <t>1694379114507972621</t>
  </si>
  <si>
    <t>1688233917655011328</t>
  </si>
  <si>
    <t>1696916405260517642</t>
  </si>
  <si>
    <t>1616041497970806784</t>
  </si>
  <si>
    <t>1663867924371701760</t>
  </si>
  <si>
    <t>1663271183179972609</t>
  </si>
  <si>
    <t>1630962345148129280</t>
  </si>
  <si>
    <t>1622372945191387138</t>
  </si>
  <si>
    <t>1705211825803943949</t>
  </si>
  <si>
    <t>1628415797881196546</t>
  </si>
  <si>
    <t>1686125495682043904</t>
  </si>
  <si>
    <t>1689787163087364096</t>
  </si>
  <si>
    <t>1701700075964207179</t>
  </si>
  <si>
    <t>1703067488286609414</t>
  </si>
  <si>
    <t>1703756472511795249</t>
  </si>
  <si>
    <t>1635367486031003649</t>
  </si>
  <si>
    <t>1634371877866205184</t>
  </si>
  <si>
    <t>1634315647252418560</t>
  </si>
  <si>
    <t>1634307803295694853</t>
  </si>
  <si>
    <t>1634266531730280461</t>
  </si>
  <si>
    <t>1634257889660379153</t>
  </si>
  <si>
    <t>1634255327590752265</t>
  </si>
  <si>
    <t>1634253610472054788</t>
  </si>
  <si>
    <t>1617599249260085279</t>
  </si>
  <si>
    <t>1610329938082816000</t>
  </si>
  <si>
    <t>1656377398525325313</t>
  </si>
  <si>
    <t>1611160573839921153</t>
  </si>
  <si>
    <t>1665795863350837251</t>
  </si>
  <si>
    <t>1668951510779064322</t>
  </si>
  <si>
    <t>1657352020905410561</t>
  </si>
  <si>
    <t>1686032455180894208</t>
  </si>
  <si>
    <t>1657398321982447616</t>
  </si>
  <si>
    <t>1692924855228813546</t>
  </si>
  <si>
    <t>1692658918961422762</t>
  </si>
  <si>
    <t>1692505307019145647</t>
  </si>
  <si>
    <t>1697606421678895610</t>
  </si>
  <si>
    <t>1691083769791361026</t>
  </si>
  <si>
    <t>1704129883272581230</t>
  </si>
  <si>
    <t>1697977370106355892</t>
  </si>
  <si>
    <t>1697629472722125153</t>
  </si>
  <si>
    <t>1691823487894036618</t>
  </si>
  <si>
    <t>1691595710792094054</t>
  </si>
  <si>
    <t>1691421226223177729</t>
  </si>
  <si>
    <t>1690015279747612673</t>
  </si>
  <si>
    <t>1689989544353906688</t>
  </si>
  <si>
    <t>1704628815152988318</t>
  </si>
  <si>
    <t>1704483605072740673</t>
  </si>
  <si>
    <t>1698696221605478638</t>
  </si>
  <si>
    <t>1692153540121124918</t>
  </si>
  <si>
    <t>1687120566212255746</t>
  </si>
  <si>
    <t>1686772978631987201</t>
  </si>
  <si>
    <t>1662472409260195842</t>
  </si>
  <si>
    <t>1682686193207582720</t>
  </si>
  <si>
    <t>1615734302263623684</t>
  </si>
  <si>
    <t>1622741131011162115</t>
  </si>
  <si>
    <t>1619125628372156416</t>
  </si>
  <si>
    <t>1618785186975731717</t>
  </si>
  <si>
    <t>1674426278462779392</t>
  </si>
  <si>
    <t>1660257647621185542</t>
  </si>
  <si>
    <t>1654119935659102210</t>
  </si>
  <si>
    <t>1653826327437254660</t>
  </si>
  <si>
    <t>1653371432171085828</t>
  </si>
  <si>
    <t>1653189718769541127</t>
  </si>
  <si>
    <t>1685618963382718464</t>
  </si>
  <si>
    <t>1683087589425774593</t>
  </si>
  <si>
    <t>1677643716670939136</t>
  </si>
  <si>
    <t>1677273730563571712</t>
  </si>
  <si>
    <t>1676911706897805312</t>
  </si>
  <si>
    <t>1658073303481831426</t>
  </si>
  <si>
    <t>1657917642135552000</t>
  </si>
  <si>
    <t>1693592842336125287</t>
  </si>
  <si>
    <t>1697945965339054460</t>
  </si>
  <si>
    <t>1695419892004954592</t>
  </si>
  <si>
    <t>1691423393055121411</t>
  </si>
  <si>
    <t>1701206958684901660</t>
  </si>
  <si>
    <t>1700486929546936718</t>
  </si>
  <si>
    <t>1699762525372325954</t>
  </si>
  <si>
    <t>1698663838428656065</t>
  </si>
  <si>
    <t>1696184351862501424</t>
  </si>
  <si>
    <t>1690727584160530432</t>
  </si>
  <si>
    <t>1690354774087020544</t>
  </si>
  <si>
    <t>1690329792493531136</t>
  </si>
  <si>
    <t>1680911655981531136</t>
  </si>
  <si>
    <t>1663140985260367874</t>
  </si>
  <si>
    <t>1662794448080650243</t>
  </si>
  <si>
    <t>1660612763461222400</t>
  </si>
  <si>
    <t>1653014651003699200</t>
  </si>
  <si>
    <t>1703737424197664796</t>
  </si>
  <si>
    <t>1702809781222654191</t>
  </si>
  <si>
    <t>1691073045392158720</t>
  </si>
  <si>
    <t>1688519263865225216</t>
  </si>
  <si>
    <t>1687843461318209536</t>
  </si>
  <si>
    <t>1705339418003795974</t>
  </si>
  <si>
    <t>1685982848778420224</t>
  </si>
  <si>
    <t>1683442659560390656</t>
  </si>
  <si>
    <t>1678368477449428993</t>
  </si>
  <si>
    <t>1678007521422843910</t>
  </si>
  <si>
    <t>1655552267016085504</t>
  </si>
  <si>
    <t>1654820543399337984</t>
  </si>
  <si>
    <t>1658815189628616708</t>
  </si>
  <si>
    <t>1679189551221227520</t>
  </si>
  <si>
    <t>1678856180024614912</t>
  </si>
  <si>
    <t>1678855969399341056</t>
  </si>
  <si>
    <t>1678855871680454658</t>
  </si>
  <si>
    <t>1678855318032330754</t>
  </si>
  <si>
    <t>1687143635769335815</t>
  </si>
  <si>
    <t>1633217860129505282</t>
  </si>
  <si>
    <t>1634578096283156482</t>
  </si>
  <si>
    <t>1633948852028858373</t>
  </si>
  <si>
    <t>1653196271765561344</t>
  </si>
  <si>
    <t>1637222269251383297</t>
  </si>
  <si>
    <t>1630580182011506690</t>
  </si>
  <si>
    <t>1682028883410059271</t>
  </si>
  <si>
    <t>1682169031313244161</t>
  </si>
  <si>
    <t>1641514398542880789</t>
  </si>
  <si>
    <t>1658217625758097408</t>
  </si>
  <si>
    <t>1623456085049851907</t>
  </si>
  <si>
    <t>1691925398043419040</t>
  </si>
  <si>
    <t>1695134054729883668</t>
  </si>
  <si>
    <t>1685063560567599105</t>
  </si>
  <si>
    <t>1628703717431119872</t>
  </si>
  <si>
    <t>1630930903039086592</t>
  </si>
  <si>
    <t>1698534230735610239</t>
  </si>
  <si>
    <t>1692622155471528080</t>
  </si>
  <si>
    <t>1641866109107175426</t>
  </si>
  <si>
    <t>1627914900126289921</t>
  </si>
  <si>
    <t>1673766181285535776</t>
  </si>
  <si>
    <t>1647761108822794240</t>
  </si>
  <si>
    <t>1612480609204551681</t>
  </si>
  <si>
    <t>1672371023558201344</t>
  </si>
  <si>
    <t>1633463464315486208</t>
  </si>
  <si>
    <t>1653692423208419329</t>
  </si>
  <si>
    <t>1661576484518076416</t>
  </si>
  <si>
    <t>1656113863543144449</t>
  </si>
  <si>
    <t>1668091665620295680</t>
  </si>
  <si>
    <t>1657713065335353344</t>
  </si>
  <si>
    <t>1619027921943035915</t>
  </si>
  <si>
    <t>1618963700899274753</t>
  </si>
  <si>
    <t>1704459126732902558</t>
  </si>
  <si>
    <t>1704832356261962076</t>
  </si>
  <si>
    <t>1705299273477202339</t>
  </si>
  <si>
    <t>1656377466330521606</t>
  </si>
  <si>
    <t>1658619504094597124</t>
  </si>
  <si>
    <t>1658473028966322179</t>
  </si>
  <si>
    <t>1658472985102258176</t>
  </si>
  <si>
    <t>1658472638698901505</t>
  </si>
  <si>
    <t>1658472593987604480</t>
  </si>
  <si>
    <t>1658472416786657285</t>
  </si>
  <si>
    <t>1658422180084957184</t>
  </si>
  <si>
    <t>1658422152478044160</t>
  </si>
  <si>
    <t>1658196410875953154</t>
  </si>
  <si>
    <t>1658196343267926027</t>
  </si>
  <si>
    <t>1633775631358996481</t>
  </si>
  <si>
    <t>1633423365435260931</t>
  </si>
  <si>
    <t>1630881916516720641</t>
  </si>
  <si>
    <t>1617826279402897410</t>
  </si>
  <si>
    <t>1667167009270816769</t>
  </si>
  <si>
    <t>1660597615635963904</t>
  </si>
  <si>
    <t>1659167181542760451</t>
  </si>
  <si>
    <t>1654077532742856705</t>
  </si>
  <si>
    <t>1653723009046261763</t>
  </si>
  <si>
    <t>1653356439614701568</t>
  </si>
  <si>
    <t>1649005705796501504</t>
  </si>
  <si>
    <t>1648279477502324737</t>
  </si>
  <si>
    <t>1647918808655360001</t>
  </si>
  <si>
    <t>1641412220318806016</t>
  </si>
  <si>
    <t>1641031561180053504</t>
  </si>
  <si>
    <t>1640672078771761152</t>
  </si>
  <si>
    <t>1625442547043540993</t>
  </si>
  <si>
    <t>1623990628135714816</t>
  </si>
  <si>
    <t>1623632264679546885</t>
  </si>
  <si>
    <t>1613856211224461313</t>
  </si>
  <si>
    <t>1613479296827260929</t>
  </si>
  <si>
    <t>1613132389433200641</t>
  </si>
  <si>
    <t>1612422296400023552</t>
  </si>
  <si>
    <t>1611307531908923392</t>
  </si>
  <si>
    <t>1610586568615464960</t>
  </si>
  <si>
    <t>1610251671480815617</t>
  </si>
  <si>
    <t>1684900636633059328</t>
  </si>
  <si>
    <t>1684148922602897409</t>
  </si>
  <si>
    <t>1682346878807973890</t>
  </si>
  <si>
    <t>1681986431827300352</t>
  </si>
  <si>
    <t>1678722053732552706</t>
  </si>
  <si>
    <t>1677267905736585222</t>
  </si>
  <si>
    <t>1674739753005056002</t>
  </si>
  <si>
    <t>1674368763267895297</t>
  </si>
  <si>
    <t>1672204207560990723</t>
  </si>
  <si>
    <t>1671819074588868615</t>
  </si>
  <si>
    <t>1671475470544543744</t>
  </si>
  <si>
    <t>1668933033783709698</t>
  </si>
  <si>
    <t>1668209241113460736</t>
  </si>
  <si>
    <t>1658791707436105729</t>
  </si>
  <si>
    <t>1658424610327494656</t>
  </si>
  <si>
    <t>1658067009182089219</t>
  </si>
  <si>
    <t>1646825094801416193</t>
  </si>
  <si>
    <t>1646458698796023808</t>
  </si>
  <si>
    <t>1646104895148240898</t>
  </si>
  <si>
    <t>1645376336058277888</t>
  </si>
  <si>
    <t>1630536961352933377</t>
  </si>
  <si>
    <t>1630165366293815296</t>
  </si>
  <si>
    <t>1629079796150939649</t>
  </si>
  <si>
    <t>1628717781808979973</t>
  </si>
  <si>
    <t>1626539982700654592</t>
  </si>
  <si>
    <t>1626184803518144512</t>
  </si>
  <si>
    <t>1625806770802139137</t>
  </si>
  <si>
    <t>1686003115386875906</t>
  </si>
  <si>
    <t>1684539572292550656</t>
  </si>
  <si>
    <t>1683795022859079681</t>
  </si>
  <si>
    <t>1683430067534274560</t>
  </si>
  <si>
    <t>1681619885779042306</t>
  </si>
  <si>
    <t>1678362999566786561</t>
  </si>
  <si>
    <t>1674004389739077632</t>
  </si>
  <si>
    <t>1671108984349028353</t>
  </si>
  <si>
    <t>1670751098477457411</t>
  </si>
  <si>
    <t>1669316707108659200</t>
  </si>
  <si>
    <t>1666745194019192835</t>
  </si>
  <si>
    <t>1666403818693697539</t>
  </si>
  <si>
    <t>1664605476397383682</t>
  </si>
  <si>
    <t>1664219985865068544</t>
  </si>
  <si>
    <t>1656968976088399872</t>
  </si>
  <si>
    <t>1656608800495812608</t>
  </si>
  <si>
    <t>1656254429606076417</t>
  </si>
  <si>
    <t>1655890508114194434</t>
  </si>
  <si>
    <t>1655529166530387969</t>
  </si>
  <si>
    <t>1654491156556783619</t>
  </si>
  <si>
    <t>1643924382056677376</t>
  </si>
  <si>
    <t>1643569215582920710</t>
  </si>
  <si>
    <t>1643205856865951748</t>
  </si>
  <si>
    <t>1642846616586534917</t>
  </si>
  <si>
    <t>1622906630844170240</t>
  </si>
  <si>
    <t>1622548777260273665</t>
  </si>
  <si>
    <t>1621467219828916226</t>
  </si>
  <si>
    <t>1618927616123338753</t>
  </si>
  <si>
    <t>1618560248717152259</t>
  </si>
  <si>
    <t>1618192028361461760</t>
  </si>
  <si>
    <t>1696837978239168748</t>
  </si>
  <si>
    <t>1696475828081590297</t>
  </si>
  <si>
    <t>1696119014215368833</t>
  </si>
  <si>
    <t>1692493744400994716</t>
  </si>
  <si>
    <t>1692129679220605127</t>
  </si>
  <si>
    <t>1687449926559576064</t>
  </si>
  <si>
    <t>1687051743165657088</t>
  </si>
  <si>
    <t>1686690164242882562</t>
  </si>
  <si>
    <t>1686339356066230273</t>
  </si>
  <si>
    <t>1680924355922886661</t>
  </si>
  <si>
    <t>1679820975246811136</t>
  </si>
  <si>
    <t>1679451641110511618</t>
  </si>
  <si>
    <t>1679070454605131776</t>
  </si>
  <si>
    <t>1676536091266908161</t>
  </si>
  <si>
    <t>1676181466982539265</t>
  </si>
  <si>
    <t>1675817344092733441</t>
  </si>
  <si>
    <t>1673613313438109696</t>
  </si>
  <si>
    <t>1673262377498812417</t>
  </si>
  <si>
    <t>1663860032574726147</t>
  </si>
  <si>
    <t>1663495902076497923</t>
  </si>
  <si>
    <t>1663130505150119936</t>
  </si>
  <si>
    <t>1662053697549991939</t>
  </si>
  <si>
    <t>1661679766875824130</t>
  </si>
  <si>
    <t>1661322687388459008</t>
  </si>
  <si>
    <t>1660956849737285639</t>
  </si>
  <si>
    <t>1651893917657231360</t>
  </si>
  <si>
    <t>1651550884973748227</t>
  </si>
  <si>
    <t>1651179830266699776</t>
  </si>
  <si>
    <t>1650449818123223040</t>
  </si>
  <si>
    <t>1639221874184912896</t>
  </si>
  <si>
    <t>1638847544192126976</t>
  </si>
  <si>
    <t>1638496295022219264</t>
  </si>
  <si>
    <t>1637762470579171328</t>
  </si>
  <si>
    <t>1637761008511877125</t>
  </si>
  <si>
    <t>1636677063221424128</t>
  </si>
  <si>
    <t>1636319213689229314</t>
  </si>
  <si>
    <t>1636022414277505027</t>
  </si>
  <si>
    <t>1702634923398488118</t>
  </si>
  <si>
    <t>1697556693373046959</t>
  </si>
  <si>
    <t>1694664006127013962</t>
  </si>
  <si>
    <t>1694280721584799760</t>
  </si>
  <si>
    <t>1691044500137762816</t>
  </si>
  <si>
    <t>1688518527391559680</t>
  </si>
  <si>
    <t>1634142631407108097</t>
  </si>
  <si>
    <t>1617479990869913601</t>
  </si>
  <si>
    <t>1616387360840712192</t>
  </si>
  <si>
    <t>1704086285428650221</t>
  </si>
  <si>
    <t>1701917067698450628</t>
  </si>
  <si>
    <t>1701555865596150198</t>
  </si>
  <si>
    <t>1701196657059131475</t>
  </si>
  <si>
    <t>1695014926836740383</t>
  </si>
  <si>
    <t>1691773329403679102</t>
  </si>
  <si>
    <t>1691400332952182784</t>
  </si>
  <si>
    <t>1689952272036311041</t>
  </si>
  <si>
    <t>1704450204462678093</t>
  </si>
  <si>
    <t>1703726359619498435</t>
  </si>
  <si>
    <t>1699004054465020379</t>
  </si>
  <si>
    <t>1697226858943729689</t>
  </si>
  <si>
    <t>1693937747713544694</t>
  </si>
  <si>
    <t>1693590870367330647</t>
  </si>
  <si>
    <t>1689587062993793025</t>
  </si>
  <si>
    <t>1689228245495918592</t>
  </si>
  <si>
    <t>1688869450689269760</t>
  </si>
  <si>
    <t>1635594811544592387</t>
  </si>
  <si>
    <t>1633051652415537153</t>
  </si>
  <si>
    <t>1632694077475913728</t>
  </si>
  <si>
    <t>1631612732997763072</t>
  </si>
  <si>
    <t>1631266827064991745</t>
  </si>
  <si>
    <t>1615664225153871873</t>
  </si>
  <si>
    <t>1615308600389369856</t>
  </si>
  <si>
    <t>1614977905263534080</t>
  </si>
  <si>
    <t>1611124692844253184</t>
  </si>
  <si>
    <t>1615538123479437316</t>
  </si>
  <si>
    <t>1660275319176331266</t>
  </si>
  <si>
    <t>1616541231856713736</t>
  </si>
  <si>
    <t>1654184334159491074</t>
  </si>
  <si>
    <t>1649518635633786885</t>
  </si>
  <si>
    <t>1649110937880625152</t>
  </si>
  <si>
    <t>1648023762489540610</t>
  </si>
  <si>
    <t>1623788975457533952</t>
  </si>
  <si>
    <t>1675565191302459393</t>
  </si>
  <si>
    <t>1675474616083513344</t>
  </si>
  <si>
    <t>1675217911202422786</t>
  </si>
  <si>
    <t>1674749844311666688</t>
  </si>
  <si>
    <t>1674462939963699216</t>
  </si>
  <si>
    <t>1674372364644110339</t>
  </si>
  <si>
    <t>1674145855383785473</t>
  </si>
  <si>
    <t>1674115633972236296</t>
  </si>
  <si>
    <t>1629949520300605440</t>
  </si>
  <si>
    <t>1676576834551521284</t>
  </si>
  <si>
    <t>1675912460199505939</t>
  </si>
  <si>
    <t>1675882264159199232</t>
  </si>
  <si>
    <t>1673707980632539136</t>
  </si>
  <si>
    <t>1673677765864837126</t>
  </si>
  <si>
    <t>1673451336250146817</t>
  </si>
  <si>
    <t>1673421125684981779</t>
  </si>
  <si>
    <t>1673390883935232017</t>
  </si>
  <si>
    <t>1673360683851808771</t>
  </si>
  <si>
    <t>1673330495906619392</t>
  </si>
  <si>
    <t>1673300285052141569</t>
  </si>
  <si>
    <t>1673073791906226183</t>
  </si>
  <si>
    <t>1673043557840560128</t>
  </si>
  <si>
    <t>1673013309753180161</t>
  </si>
  <si>
    <t>1672983199318781952</t>
  </si>
  <si>
    <t>1672953012728262657</t>
  </si>
  <si>
    <t>1672922805137022978</t>
  </si>
  <si>
    <t>1672575479281229826</t>
  </si>
  <si>
    <t>1652734819791433741</t>
  </si>
  <si>
    <t>1652010026985218048</t>
  </si>
  <si>
    <t>1651647659155890177</t>
  </si>
  <si>
    <t>1676682558451470336</t>
  </si>
  <si>
    <t>1676652309986549772</t>
  </si>
  <si>
    <t>1676637228016042122</t>
  </si>
  <si>
    <t>1676622148742283264</t>
  </si>
  <si>
    <t>1676607058009899009</t>
  </si>
  <si>
    <t>1675127311081807872</t>
  </si>
  <si>
    <t>1674840437855485977</t>
  </si>
  <si>
    <t>1674085444487610368</t>
  </si>
  <si>
    <t>1674055295381696512</t>
  </si>
  <si>
    <t>1674025054605135872</t>
  </si>
  <si>
    <t>1673828751543615489</t>
  </si>
  <si>
    <t>1673798602362167296</t>
  </si>
  <si>
    <t>1673768349409353747</t>
  </si>
  <si>
    <t>1673738141872668687</t>
  </si>
  <si>
    <t>1663370994638004224</t>
  </si>
  <si>
    <t>1682057356006367233</t>
  </si>
  <si>
    <t>1678718301197803523</t>
  </si>
  <si>
    <t>1645971898134675456</t>
  </si>
  <si>
    <t>1628876919063171074</t>
  </si>
  <si>
    <t>1625077679669100544</t>
  </si>
  <si>
    <t>1624480861893672960</t>
  </si>
  <si>
    <t>1624067779925008384</t>
  </si>
  <si>
    <t>1663348078873542657</t>
  </si>
  <si>
    <t>1705011441063838078</t>
  </si>
  <si>
    <t>1670596880261103617</t>
  </si>
  <si>
    <t>1678106787478753280</t>
  </si>
  <si>
    <t>1663727895611621376</t>
  </si>
  <si>
    <t>1699788872685941245</t>
  </si>
  <si>
    <t>1686805058367746053</t>
  </si>
  <si>
    <t>1686802989376303115</t>
  </si>
  <si>
    <t>1686801921493942272</t>
  </si>
  <si>
    <t>1655693669742116864</t>
  </si>
  <si>
    <t>1637062081865236482</t>
  </si>
  <si>
    <t>1636635252708843524</t>
  </si>
  <si>
    <t>1615764047626113026</t>
  </si>
  <si>
    <t>1640350216380461057</t>
  </si>
  <si>
    <t>1703450086850560444</t>
  </si>
  <si>
    <t>1699142432871305312</t>
  </si>
  <si>
    <t>1628823336284192775</t>
  </si>
  <si>
    <t>1679809309255843840</t>
  </si>
  <si>
    <t>1666069785455599616</t>
  </si>
  <si>
    <t>1611518499637035008</t>
  </si>
  <si>
    <t>1611029680940847108</t>
  </si>
  <si>
    <t>1610043358596014083</t>
  </si>
  <si>
    <t>1615653063251091460</t>
  </si>
  <si>
    <t>1616589328205086721</t>
  </si>
  <si>
    <t>1622723922201399297</t>
  </si>
  <si>
    <t>1629633467154571266</t>
  </si>
  <si>
    <t>1640536851269255168</t>
  </si>
  <si>
    <t>1689333265276997632</t>
  </si>
  <si>
    <t>1689029404502966273</t>
  </si>
  <si>
    <t>1690168612647043072</t>
  </si>
  <si>
    <t>1690076542871781376</t>
  </si>
  <si>
    <t>1690809881912131584</t>
  </si>
  <si>
    <t>1690507163611840512</t>
  </si>
  <si>
    <t>1691233099516936193</t>
  </si>
  <si>
    <t>1688433621663727616</t>
  </si>
  <si>
    <t>1645131017747931136</t>
  </si>
  <si>
    <t>1656265328651825153</t>
  </si>
  <si>
    <t>1656386763395325953</t>
  </si>
  <si>
    <t>1613914028597813248</t>
  </si>
  <si>
    <t>1659987934848876544</t>
  </si>
  <si>
    <t>1616100906973466627</t>
  </si>
  <si>
    <t>1616100163470196736</t>
  </si>
  <si>
    <t>1623107169703821315</t>
  </si>
  <si>
    <t>1623250568205504514</t>
  </si>
  <si>
    <t>1648541781804433409</t>
  </si>
  <si>
    <t>1654431860011814913</t>
  </si>
  <si>
    <t>1668561861720285184</t>
  </si>
  <si>
    <t>1693709034174415103</t>
  </si>
  <si>
    <t>1631130619676688385</t>
  </si>
  <si>
    <t>1643322313717297153</t>
  </si>
  <si>
    <t>1618013785230569473</t>
  </si>
  <si>
    <t>1616135277172367360</t>
  </si>
  <si>
    <t>1627673912904499200</t>
  </si>
  <si>
    <t>1627673619663921152</t>
  </si>
  <si>
    <t>1627673264158900225</t>
  </si>
  <si>
    <t>1615844313480527872</t>
  </si>
  <si>
    <t>1640182918164230145</t>
  </si>
  <si>
    <t>1640181838843969539</t>
  </si>
  <si>
    <t>1704918664779014259</t>
  </si>
  <si>
    <t>1673794215539617794</t>
  </si>
  <si>
    <t>1639784334474244101</t>
  </si>
  <si>
    <t>1698880170516508920</t>
  </si>
  <si>
    <t>1701649372608618619</t>
  </si>
  <si>
    <t>1637447782016471040</t>
  </si>
  <si>
    <t>1648304156032086017</t>
  </si>
  <si>
    <t>1647580477975408640</t>
  </si>
  <si>
    <t>1645376497291603968</t>
  </si>
  <si>
    <t>1622279407996911616</t>
  </si>
  <si>
    <t>1621533000067604483</t>
  </si>
  <si>
    <t>1621237077525561344</t>
  </si>
  <si>
    <t>1621000510471016448</t>
  </si>
  <si>
    <t>1679594336055377920</t>
  </si>
  <si>
    <t>1666085692009775104</t>
  </si>
  <si>
    <t>1690891905834287104</t>
  </si>
  <si>
    <t>1657004274239381504</t>
  </si>
  <si>
    <t>1690808958292774912</t>
  </si>
  <si>
    <t>1695859244447269374</t>
  </si>
  <si>
    <t>1695118355332583481</t>
  </si>
  <si>
    <t>1704464119598809228</t>
  </si>
  <si>
    <t>1650791069594836992</t>
  </si>
  <si>
    <t>1633034589428908033</t>
  </si>
  <si>
    <t>1677322432292560899</t>
  </si>
  <si>
    <t>1658787628764786688</t>
  </si>
  <si>
    <t>1682368946530295810</t>
  </si>
  <si>
    <t>1669314010691391491</t>
  </si>
  <si>
    <t>1664965341653479425</t>
  </si>
  <si>
    <t>1629465109612445696</t>
  </si>
  <si>
    <t>1658529057019944971</t>
  </si>
  <si>
    <t>1645507835722170382</t>
  </si>
  <si>
    <t>1676681877720055813</t>
  </si>
  <si>
    <t>1670794270352060421</t>
  </si>
  <si>
    <t>1656702846308433937</t>
  </si>
  <si>
    <t>1692192396816028078</t>
  </si>
  <si>
    <t>1679183588233707539</t>
  </si>
  <si>
    <t>1676577585206099970</t>
  </si>
  <si>
    <t>1661364517719224320</t>
  </si>
  <si>
    <t>1651293337469480960</t>
  </si>
  <si>
    <t>1694402297558679842</t>
  </si>
  <si>
    <t>1616188763947819008</t>
  </si>
  <si>
    <t>1697326694640554459</t>
  </si>
  <si>
    <t>1696892232463257727</t>
  </si>
  <si>
    <t>1635644538747334660</t>
  </si>
  <si>
    <t>1632774226624094216</t>
  </si>
  <si>
    <t>1613907521453842432</t>
  </si>
  <si>
    <t>1704949482914222321</t>
  </si>
  <si>
    <t>1703823341289865235</t>
  </si>
  <si>
    <t>1645963968073154562</t>
  </si>
  <si>
    <t>1656047397720453121</t>
  </si>
  <si>
    <t>1661809373885202473</t>
  </si>
  <si>
    <t>1658002235815604224</t>
  </si>
  <si>
    <t>1675147223426801665</t>
  </si>
  <si>
    <t>1676977454236200961</t>
  </si>
  <si>
    <t>1609939687770099712</t>
  </si>
  <si>
    <t>1631695098751614994</t>
  </si>
  <si>
    <t>1649082121275727877</t>
  </si>
  <si>
    <t>1648037473149153311</t>
  </si>
  <si>
    <t>1613182966603055104</t>
  </si>
  <si>
    <t>1652706238990364673</t>
  </si>
  <si>
    <t>1650894097173950464</t>
  </si>
  <si>
    <t>1636874162676416512</t>
  </si>
  <si>
    <t>1688533531352244226</t>
  </si>
  <si>
    <t>1616104131466301442</t>
  </si>
  <si>
    <t>1616845648799879168</t>
  </si>
  <si>
    <t>1633403433129590785</t>
  </si>
  <si>
    <t>1623310215805386757</t>
  </si>
  <si>
    <t>1701005103170453602</t>
  </si>
  <si>
    <t>1695023367022055887</t>
  </si>
  <si>
    <t>1647932232282112001</t>
  </si>
  <si>
    <t>1689062928375250945</t>
  </si>
  <si>
    <t>1697614553419243652</t>
  </si>
  <si>
    <t>1678988491764514817</t>
  </si>
  <si>
    <t>1636342678492258304</t>
  </si>
  <si>
    <t>1636342656308477952</t>
  </si>
  <si>
    <t>1615987294942670849</t>
  </si>
  <si>
    <t>1657370700233973762</t>
  </si>
  <si>
    <t>1623632779400323074</t>
  </si>
  <si>
    <t>1613818738817617920</t>
  </si>
  <si>
    <t>1613480261441699841</t>
  </si>
  <si>
    <t>1610953207739473920</t>
  </si>
  <si>
    <t>1678682280363999232</t>
  </si>
  <si>
    <t>1659141567699886081</t>
  </si>
  <si>
    <t>1658754074282434561</t>
  </si>
  <si>
    <t>1626170531794780161</t>
  </si>
  <si>
    <t>1681977730710089728</t>
  </si>
  <si>
    <t>1643373717035048960</t>
  </si>
  <si>
    <t>1619286337013829632</t>
  </si>
  <si>
    <t>1694264744893456871</t>
  </si>
  <si>
    <t>1682951074930638848</t>
  </si>
  <si>
    <t>1682939860741660677</t>
  </si>
  <si>
    <t>1683663699024678913</t>
  </si>
  <si>
    <t>1682929047502725121</t>
  </si>
  <si>
    <t>1613895533403463681</t>
  </si>
  <si>
    <t>1613244692770033665</t>
  </si>
  <si>
    <t>1647223816202907648</t>
  </si>
  <si>
    <t>1624500583884267520</t>
  </si>
  <si>
    <t>1668829673797697538</t>
  </si>
  <si>
    <t>1668747289840570380</t>
  </si>
  <si>
    <t>1682169633229398017</t>
  </si>
  <si>
    <t>1616284080928079874</t>
  </si>
  <si>
    <t>1655281112040583168</t>
  </si>
  <si>
    <t>1637043599618498566</t>
  </si>
  <si>
    <t>1630012306632343552</t>
  </si>
  <si>
    <t>1668211785227284480</t>
  </si>
  <si>
    <t>1678565890181218304</t>
  </si>
  <si>
    <t>1690510458921287682</t>
  </si>
  <si>
    <t>1690204528774139904</t>
  </si>
  <si>
    <t>1690051877423980559</t>
  </si>
  <si>
    <t>1690008462246232064</t>
  </si>
  <si>
    <t>1616646940229513223</t>
  </si>
  <si>
    <t>1620774110887563265</t>
  </si>
  <si>
    <t>1704483940415758386</t>
  </si>
  <si>
    <t>1692955951702081633</t>
  </si>
  <si>
    <t>1644727637598765058</t>
  </si>
  <si>
    <t>1612834454929838081</t>
  </si>
  <si>
    <t>1675535218038505472</t>
  </si>
  <si>
    <t>1646299744287830016</t>
  </si>
  <si>
    <t>1692867865261543657</t>
  </si>
  <si>
    <t>1623759474140844037</t>
  </si>
  <si>
    <t>1643946957944094725</t>
  </si>
  <si>
    <t>1653041324642410496</t>
  </si>
  <si>
    <t>1673720707853742080</t>
  </si>
  <si>
    <t>1681858498911428608</t>
  </si>
  <si>
    <t>1676395320958238722</t>
  </si>
  <si>
    <t>1678550239635013632</t>
  </si>
  <si>
    <t>1663936114321661960</t>
  </si>
  <si>
    <t>1630810150452822018</t>
  </si>
  <si>
    <t>1705211816870137995</t>
  </si>
  <si>
    <t>1615734299768012800</t>
  </si>
  <si>
    <t>1622741129035714560</t>
  </si>
  <si>
    <t>1619125594004004865</t>
  </si>
  <si>
    <t>1618785127538262017</t>
  </si>
  <si>
    <t>1660256573590065152</t>
  </si>
  <si>
    <t>1654119417704484865</t>
  </si>
  <si>
    <t>1653825619661139970</t>
  </si>
  <si>
    <t>1653370635072987137</t>
  </si>
  <si>
    <t>1653188679114817539</t>
  </si>
  <si>
    <t>1685617971509485570</t>
  </si>
  <si>
    <t>1683086686568292354</t>
  </si>
  <si>
    <t>1677642918889234432</t>
  </si>
  <si>
    <t>1677273592940175363</t>
  </si>
  <si>
    <t>1676910984412254208</t>
  </si>
  <si>
    <t>1658072114476339200</t>
  </si>
  <si>
    <t>1657916693891489794</t>
  </si>
  <si>
    <t>1693591541716000891</t>
  </si>
  <si>
    <t>1697944974157926542</t>
  </si>
  <si>
    <t>1695418727972364493</t>
  </si>
  <si>
    <t>1691423087386869760</t>
  </si>
  <si>
    <t>1701206022499479872</t>
  </si>
  <si>
    <t>1700485948675330274</t>
  </si>
  <si>
    <t>1699761648729281011</t>
  </si>
  <si>
    <t>1698662874229399784</t>
  </si>
  <si>
    <t>1696183478218371082</t>
  </si>
  <si>
    <t>1690726745928818688</t>
  </si>
  <si>
    <t>1690354017870688256</t>
  </si>
  <si>
    <t>1690328877053161472</t>
  </si>
  <si>
    <t>1680910201497481216</t>
  </si>
  <si>
    <t>1663140116485881857</t>
  </si>
  <si>
    <t>1662793328637665283</t>
  </si>
  <si>
    <t>1660611655418486785</t>
  </si>
  <si>
    <t>1653013502578118657</t>
  </si>
  <si>
    <t>1703736236169470375</t>
  </si>
  <si>
    <t>1702808845716689061</t>
  </si>
  <si>
    <t>1691072297468071936</t>
  </si>
  <si>
    <t>1688518276526022656</t>
  </si>
  <si>
    <t>1687842379280117760</t>
  </si>
  <si>
    <t>1705338004087210347</t>
  </si>
  <si>
    <t>1685981842409693184</t>
  </si>
  <si>
    <t>1683441992267595777</t>
  </si>
  <si>
    <t>1678367904163672065</t>
  </si>
  <si>
    <t>1678007014813728770</t>
  </si>
  <si>
    <t>1655551433721233417</t>
  </si>
  <si>
    <t>1654819693033668612</t>
  </si>
  <si>
    <t>1678781958493736966</t>
  </si>
  <si>
    <t>1630930891676737536</t>
  </si>
  <si>
    <t>1692621915184132451</t>
  </si>
  <si>
    <t>1673765407792963615</t>
  </si>
  <si>
    <t>1672370287206121472</t>
  </si>
  <si>
    <t>1633775622232178688</t>
  </si>
  <si>
    <t>1633423352533590017</t>
  </si>
  <si>
    <t>1630881908358889476</t>
  </si>
  <si>
    <t>1617826259970719747</t>
  </si>
  <si>
    <t>1667166995920420868</t>
  </si>
  <si>
    <t>1660597607813480448</t>
  </si>
  <si>
    <t>1659167169890885635</t>
  </si>
  <si>
    <t>1654077524022886400</t>
  </si>
  <si>
    <t>1653722998409404417</t>
  </si>
  <si>
    <t>1653356415430561792</t>
  </si>
  <si>
    <t>1649005696363405322</t>
  </si>
  <si>
    <t>1648279469155663872</t>
  </si>
  <si>
    <t>1647918797443981312</t>
  </si>
  <si>
    <t>1641412207622733824</t>
  </si>
  <si>
    <t>1641031550178295809</t>
  </si>
  <si>
    <t>1640672067631603713</t>
  </si>
  <si>
    <t>1625442534053797888</t>
  </si>
  <si>
    <t>1623990617100455937</t>
  </si>
  <si>
    <t>1623632255288504320</t>
  </si>
  <si>
    <t>1613856200898277377</t>
  </si>
  <si>
    <t>1613479280419258372</t>
  </si>
  <si>
    <t>1613132379308326912</t>
  </si>
  <si>
    <t>1612422287067676673</t>
  </si>
  <si>
    <t>1611307512069853184</t>
  </si>
  <si>
    <t>1610586553583112192</t>
  </si>
  <si>
    <t>1610251655550746626</t>
  </si>
  <si>
    <t>1684900627753615360</t>
  </si>
  <si>
    <t>1684148914126200832</t>
  </si>
  <si>
    <t>1682346870184484865</t>
  </si>
  <si>
    <t>1681986422893420544</t>
  </si>
  <si>
    <t>1678722043091533825</t>
  </si>
  <si>
    <t>1677267893669490691</t>
  </si>
  <si>
    <t>1674739740589936641</t>
  </si>
  <si>
    <t>1674368753650356225</t>
  </si>
  <si>
    <t>1672204194739019779</t>
  </si>
  <si>
    <t>1671819067471044608</t>
  </si>
  <si>
    <t>1671475458507001856</t>
  </si>
  <si>
    <t>1668933024401043457</t>
  </si>
  <si>
    <t>1668209159483846657</t>
  </si>
  <si>
    <t>1658791693045452801</t>
  </si>
  <si>
    <t>1658424598185103363</t>
  </si>
  <si>
    <t>1658067000948654084</t>
  </si>
  <si>
    <t>1646825083183198208</t>
  </si>
  <si>
    <t>1646458689354625028</t>
  </si>
  <si>
    <t>1646104885589409792</t>
  </si>
  <si>
    <t>1645376325610250240</t>
  </si>
  <si>
    <t>1630536948585488385</t>
  </si>
  <si>
    <t>1630165349936033794</t>
  </si>
  <si>
    <t>1629079780455768064</t>
  </si>
  <si>
    <t>1628717772820697089</t>
  </si>
  <si>
    <t>1626539971023630338</t>
  </si>
  <si>
    <t>1626184794538139649</t>
  </si>
  <si>
    <t>1625806758420652033</t>
  </si>
  <si>
    <t>1686003105530355712</t>
  </si>
  <si>
    <t>1684539563702640641</t>
  </si>
  <si>
    <t>1683795012134350848</t>
  </si>
  <si>
    <t>1683430057522462720</t>
  </si>
  <si>
    <t>1681619878229291010</t>
  </si>
  <si>
    <t>1678362989659815936</t>
  </si>
  <si>
    <t>1674004378410156032</t>
  </si>
  <si>
    <t>1671108974979039232</t>
  </si>
  <si>
    <t>1670751089967128576</t>
  </si>
  <si>
    <t>1669316694160863234</t>
  </si>
  <si>
    <t>1666745182195261440</t>
  </si>
  <si>
    <t>1666403806748221440</t>
  </si>
  <si>
    <t>1664605467866279948</t>
  </si>
  <si>
    <t>1664219976222294017</t>
  </si>
  <si>
    <t>1656968964679819264</t>
  </si>
  <si>
    <t>1656608789187928066</t>
  </si>
  <si>
    <t>1656254418650537985</t>
  </si>
  <si>
    <t>1655890495791398912</t>
  </si>
  <si>
    <t>1655529155750928384</t>
  </si>
  <si>
    <t>1654491145051815942</t>
  </si>
  <si>
    <t>1643924371977695233</t>
  </si>
  <si>
    <t>1643569202437976066</t>
  </si>
  <si>
    <t>1643205845147176960</t>
  </si>
  <si>
    <t>1642846606016888835</t>
  </si>
  <si>
    <t>1622906622212177920</t>
  </si>
  <si>
    <t>1622548767776940040</t>
  </si>
  <si>
    <t>1621467205203361792</t>
  </si>
  <si>
    <t>1618927599224508416</t>
  </si>
  <si>
    <t>1618560229293322241</t>
  </si>
  <si>
    <t>1618192007654178816</t>
  </si>
  <si>
    <t>1696837962925838524</t>
  </si>
  <si>
    <t>1696475819642687649</t>
  </si>
  <si>
    <t>1696119004551618693</t>
  </si>
  <si>
    <t>1692493734670131327</t>
  </si>
  <si>
    <t>1692129671419138170</t>
  </si>
  <si>
    <t>1687449915431985152</t>
  </si>
  <si>
    <t>1687051731509587968</t>
  </si>
  <si>
    <t>1686690154331664384</t>
  </si>
  <si>
    <t>1686339345718956032</t>
  </si>
  <si>
    <t>1680924342849339392</t>
  </si>
  <si>
    <t>1679820966090747904</t>
  </si>
  <si>
    <t>1679451628854714369</t>
  </si>
  <si>
    <t>1679070445293666305</t>
  </si>
  <si>
    <t>1676536082534465537</t>
  </si>
  <si>
    <t>1676181457968979968</t>
  </si>
  <si>
    <t>1675817334966026241</t>
  </si>
  <si>
    <t>1673613303673700352</t>
  </si>
  <si>
    <t>1673262370020368384</t>
  </si>
  <si>
    <t>1663860023078920196</t>
  </si>
  <si>
    <t>1663495891116752897</t>
  </si>
  <si>
    <t>1663130496698654725</t>
  </si>
  <si>
    <t>1662053685554294784</t>
  </si>
  <si>
    <t>1661679756893466624</t>
  </si>
  <si>
    <t>1661322675086655489</t>
  </si>
  <si>
    <t>1660956841134764032</t>
  </si>
  <si>
    <t>1651893906550714371</t>
  </si>
  <si>
    <t>1651550873615515652</t>
  </si>
  <si>
    <t>1651179818073964548</t>
  </si>
  <si>
    <t>1650449806194614273</t>
  </si>
  <si>
    <t>1639221865607471105</t>
  </si>
  <si>
    <t>1638847534763331590</t>
  </si>
  <si>
    <t>1638496285962514434</t>
  </si>
  <si>
    <t>1637762460659712001</t>
  </si>
  <si>
    <t>1637760997631959044</t>
  </si>
  <si>
    <t>1636677050843947013</t>
  </si>
  <si>
    <t>1636319201622147072</t>
  </si>
  <si>
    <t>1636022402743148546</t>
  </si>
  <si>
    <t>1702634912711324101</t>
  </si>
  <si>
    <t>1697556682212008371</t>
  </si>
  <si>
    <t>1694663993401459103</t>
  </si>
  <si>
    <t>1694280711522402685</t>
  </si>
  <si>
    <t>1691044490851532801</t>
  </si>
  <si>
    <t>1688518517643964416</t>
  </si>
  <si>
    <t>1634142623131639815</t>
  </si>
  <si>
    <t>1617479972091990018</t>
  </si>
  <si>
    <t>1616387346282446848</t>
  </si>
  <si>
    <t>1704086274989035861</t>
  </si>
  <si>
    <t>1701917039466623464</t>
  </si>
  <si>
    <t>1701555854162509843</t>
  </si>
  <si>
    <t>1701196648674705711</t>
  </si>
  <si>
    <t>1695014918578180520</t>
  </si>
  <si>
    <t>1691773316485324866</t>
  </si>
  <si>
    <t>1691400324467007490</t>
  </si>
  <si>
    <t>1689952259218583552</t>
  </si>
  <si>
    <t>1704450193557438553</t>
  </si>
  <si>
    <t>1703726349997801618</t>
  </si>
  <si>
    <t>1699004023343362066</t>
  </si>
  <si>
    <t>1697226848814436697</t>
  </si>
  <si>
    <t>1693937739593322870</t>
  </si>
  <si>
    <t>1693590861186056439</t>
  </si>
  <si>
    <t>1689587055519543296</t>
  </si>
  <si>
    <t>1689228233563152384</t>
  </si>
  <si>
    <t>1688869440828432384</t>
  </si>
  <si>
    <t>1635594798152253440</t>
  </si>
  <si>
    <t>1633051643389280256</t>
  </si>
  <si>
    <t>1632694067959148544</t>
  </si>
  <si>
    <t>1631612721459281922</t>
  </si>
  <si>
    <t>1631266817770438656</t>
  </si>
  <si>
    <t>1615664209723011074</t>
  </si>
  <si>
    <t>1615307615084363777</t>
  </si>
  <si>
    <t>1614977895801262080</t>
  </si>
  <si>
    <t>1624479323351556097</t>
  </si>
  <si>
    <t>1666069771673120769</t>
  </si>
  <si>
    <t>1645105749419327489</t>
  </si>
  <si>
    <t>1673794213824151553</t>
  </si>
  <si>
    <t>1658529054218149891</t>
  </si>
  <si>
    <t>1676681872468844544</t>
  </si>
  <si>
    <t>1656702843540185088</t>
  </si>
  <si>
    <t>1651293334285975568</t>
  </si>
  <si>
    <t>1616188759296311298</t>
  </si>
  <si>
    <t>1635644535287042054</t>
  </si>
  <si>
    <t>1613907518110965760</t>
  </si>
  <si>
    <t>1676977449425334272</t>
  </si>
  <si>
    <t>1695023066319925390</t>
  </si>
  <si>
    <t>1636342285314011138</t>
  </si>
  <si>
    <t>1615987014305808389</t>
  </si>
  <si>
    <t>1657370067795861512</t>
  </si>
  <si>
    <t>1623632516744617988</t>
  </si>
  <si>
    <t>1613818251687137280</t>
  </si>
  <si>
    <t>1613480026292293633</t>
  </si>
  <si>
    <t>1610952954915311616</t>
  </si>
  <si>
    <t>1678681889538752512</t>
  </si>
  <si>
    <t>1659141265169043459</t>
  </si>
  <si>
    <t>1658753579824316420</t>
  </si>
  <si>
    <t>1626170222766956544</t>
  </si>
  <si>
    <t>1681977316501512193</t>
  </si>
  <si>
    <t>1643373154134360064</t>
  </si>
  <si>
    <t>1619286169178734593</t>
  </si>
  <si>
    <t>1694264493830733893</t>
  </si>
  <si>
    <t>1624500549251989505</t>
  </si>
  <si>
    <t>889483841840271360</t>
  </si>
  <si>
    <t>4309331</t>
  </si>
  <si>
    <t>2909314349</t>
  </si>
  <si>
    <t>1335656385128894465</t>
  </si>
  <si>
    <t>1616247480068313088</t>
  </si>
  <si>
    <t>1643923928153219074</t>
  </si>
  <si>
    <t>778276232081342464</t>
  </si>
  <si>
    <t>1524607646007021568</t>
  </si>
  <si>
    <t>1294913256008617986</t>
  </si>
  <si>
    <t>895549163403829248</t>
  </si>
  <si>
    <t>1585724617783664640</t>
  </si>
  <si>
    <t>16949110</t>
  </si>
  <si>
    <t>1446487919682748419</t>
  </si>
  <si>
    <t>1260947074306265090</t>
  </si>
  <si>
    <t>763129934</t>
  </si>
  <si>
    <t>102444270</t>
  </si>
  <si>
    <t>1578709029899145216</t>
  </si>
  <si>
    <t>1192909456075632640</t>
  </si>
  <si>
    <t>1624753421231202305</t>
  </si>
  <si>
    <t>886832413</t>
  </si>
  <si>
    <t>1705197137351340032</t>
  </si>
  <si>
    <t>1591127284001406992</t>
  </si>
  <si>
    <t>1590344906140254209</t>
  </si>
  <si>
    <t>1677348601003929601</t>
  </si>
  <si>
    <t>1594371871763480581</t>
  </si>
  <si>
    <t>1457503002613403651</t>
  </si>
  <si>
    <t>52370747</t>
  </si>
  <si>
    <t>2431264463</t>
  </si>
  <si>
    <t>1283575954506383360</t>
  </si>
  <si>
    <t>355209370</t>
  </si>
  <si>
    <t>106727036</t>
  </si>
  <si>
    <t>1372989363798339584</t>
  </si>
  <si>
    <t>1512130441700065284</t>
  </si>
  <si>
    <t>1540004255012102144</t>
  </si>
  <si>
    <t>1489186316495503361</t>
  </si>
  <si>
    <t>1686339704315101184</t>
  </si>
  <si>
    <t>1395541134932332553</t>
  </si>
  <si>
    <t>1206942103735095296</t>
  </si>
  <si>
    <t/>
  </si>
  <si>
    <t>1620774118370193412</t>
  </si>
  <si>
    <t>1644727743454609410</t>
  </si>
  <si>
    <t>1672198508940611584</t>
  </si>
  <si>
    <t>1612834457014124546</t>
  </si>
  <si>
    <t>1675535226653556737</t>
  </si>
  <si>
    <t>1646299746825297920</t>
  </si>
  <si>
    <t>1643946961345585152</t>
  </si>
  <si>
    <t>1653041335182708736</t>
  </si>
  <si>
    <t>1636420875703427073</t>
  </si>
  <si>
    <t>1636420872721317899</t>
  </si>
  <si>
    <t>1636420869739167749</t>
  </si>
  <si>
    <t>1636420866920595463</t>
  </si>
  <si>
    <t>1636420864160743431</t>
  </si>
  <si>
    <t>1636420860746579997</t>
  </si>
  <si>
    <t>1663937746744868864</t>
  </si>
  <si>
    <t>1705211824101085604</t>
  </si>
  <si>
    <t>1660257599831396352</t>
  </si>
  <si>
    <t>1654119888989061132</t>
  </si>
  <si>
    <t>1653826282008748048</t>
  </si>
  <si>
    <t>1653371370552606720</t>
  </si>
  <si>
    <t>1653189671202050053</t>
  </si>
  <si>
    <t>1685618836983197696</t>
  </si>
  <si>
    <t>1683087521738027008</t>
  </si>
  <si>
    <t>1677643594277048320</t>
  </si>
  <si>
    <t>1677273679019794433</t>
  </si>
  <si>
    <t>1676911647003115520</t>
  </si>
  <si>
    <t>1658073254643355656</t>
  </si>
  <si>
    <t>1657917589195231232</t>
  </si>
  <si>
    <t>1693592710869893348</t>
  </si>
  <si>
    <t>1697945867213271421</t>
  </si>
  <si>
    <t>1695419763999080750</t>
  </si>
  <si>
    <t>1691423296753893376</t>
  </si>
  <si>
    <t>1701206819002089916</t>
  </si>
  <si>
    <t>1700486816216866904</t>
  </si>
  <si>
    <t>1699762421445829067</t>
  </si>
  <si>
    <t>1698663733076107707</t>
  </si>
  <si>
    <t>1696184243729096881</t>
  </si>
  <si>
    <t>1690727472441008128</t>
  </si>
  <si>
    <t>1690354671691382784</t>
  </si>
  <si>
    <t>1690329695630327808</t>
  </si>
  <si>
    <t>1680911593352167424</t>
  </si>
  <si>
    <t>1663140858739163142</t>
  </si>
  <si>
    <t>1662794391558168580</t>
  </si>
  <si>
    <t>1660612716413820930</t>
  </si>
  <si>
    <t>1653014594539929605</t>
  </si>
  <si>
    <t>1703737323060379732</t>
  </si>
  <si>
    <t>1702809674129592481</t>
  </si>
  <si>
    <t>1691072989146615809</t>
  </si>
  <si>
    <t>1688519149033488384</t>
  </si>
  <si>
    <t>1687843342296444928</t>
  </si>
  <si>
    <t>1705339265012453814</t>
  </si>
  <si>
    <t>1685982731753168896</t>
  </si>
  <si>
    <t>1683442546180063232</t>
  </si>
  <si>
    <t>1678368351461031936</t>
  </si>
  <si>
    <t>1678007413436186624</t>
  </si>
  <si>
    <t>1655552220568363009</t>
  </si>
  <si>
    <t>1654820498658697216</t>
  </si>
  <si>
    <t>1630930901348806656</t>
  </si>
  <si>
    <t>1633775628674646016</t>
  </si>
  <si>
    <t>1633423362503344133</t>
  </si>
  <si>
    <t>1630881914474094592</t>
  </si>
  <si>
    <t>1617826266937454593</t>
  </si>
  <si>
    <t>1667167005827383300</t>
  </si>
  <si>
    <t>1660597613350060035</t>
  </si>
  <si>
    <t>1659167178656972802</t>
  </si>
  <si>
    <t>1654077530607943680</t>
  </si>
  <si>
    <t>1653723006634434560</t>
  </si>
  <si>
    <t>1653356425110757377</t>
  </si>
  <si>
    <t>1649005702998814721</t>
  </si>
  <si>
    <t>1648279475153432579</t>
  </si>
  <si>
    <t>1647918805455077376</t>
  </si>
  <si>
    <t>1641412217982574592</t>
  </si>
  <si>
    <t>1641031557359050757</t>
  </si>
  <si>
    <t>1640672073646211072</t>
  </si>
  <si>
    <t>1625442544162152448</t>
  </si>
  <si>
    <t>1623990625124188161</t>
  </si>
  <si>
    <t>1623632260653019137</t>
  </si>
  <si>
    <t>1613856207651090435</t>
  </si>
  <si>
    <t>1613479288010948609</t>
  </si>
  <si>
    <t>1613132385729777665</t>
  </si>
  <si>
    <t>1612422293950550017</t>
  </si>
  <si>
    <t>1611307525651013634</t>
  </si>
  <si>
    <t>1610586561606819840</t>
  </si>
  <si>
    <t>1610251663977111554</t>
  </si>
  <si>
    <t>1684900634506522624</t>
  </si>
  <si>
    <t>1684148920367083528</t>
  </si>
  <si>
    <t>1682346876530483202</t>
  </si>
  <si>
    <t>1681986429310607361</t>
  </si>
  <si>
    <t>1678722050494550016</t>
  </si>
  <si>
    <t>1677267902892855296</t>
  </si>
  <si>
    <t>1674739749607682050</t>
  </si>
  <si>
    <t>1674368760780562432</t>
  </si>
  <si>
    <t>1672204204771889155</t>
  </si>
  <si>
    <t>1671819072630079488</t>
  </si>
  <si>
    <t>1671475468141199360</t>
  </si>
  <si>
    <t>1668933031053209600</t>
  </si>
  <si>
    <t>1668209169520812033</t>
  </si>
  <si>
    <t>1658791703162105859</t>
  </si>
  <si>
    <t>1658424606800093193</t>
  </si>
  <si>
    <t>1658067007080747008</t>
  </si>
  <si>
    <t>1646825092159086594</t>
  </si>
  <si>
    <t>1646458696879185921</t>
  </si>
  <si>
    <t>1646104891914428416</t>
  </si>
  <si>
    <t>1645376333457784834</t>
  </si>
  <si>
    <t>1630536958584709120</t>
  </si>
  <si>
    <t>1630165359083806725</t>
  </si>
  <si>
    <t>1629079793332355073</t>
  </si>
  <si>
    <t>1628717779321749505</t>
  </si>
  <si>
    <t>1626539978749534210</t>
  </si>
  <si>
    <t>1626184801374949376</t>
  </si>
  <si>
    <t>1625806767358607363</t>
  </si>
  <si>
    <t>1686003113168084992</t>
  </si>
  <si>
    <t>1684539570199695360</t>
  </si>
  <si>
    <t>1683795020686540802</t>
  </si>
  <si>
    <t>1683430064732471298</t>
  </si>
  <si>
    <t>1681619883681824768</t>
  </si>
  <si>
    <t>1678362997385752577</t>
  </si>
  <si>
    <t>1674004385427255296</t>
  </si>
  <si>
    <t>1671108981929005056</t>
  </si>
  <si>
    <t>1670751096048893955</t>
  </si>
  <si>
    <t>1669316703178686464</t>
  </si>
  <si>
    <t>1666745190734782464</t>
  </si>
  <si>
    <t>1666403815623409665</t>
  </si>
  <si>
    <t>1664605474568675328</t>
  </si>
  <si>
    <t>1664219983834906625</t>
  </si>
  <si>
    <t>1656968973710229504</t>
  </si>
  <si>
    <t>1656608796796387329</t>
  </si>
  <si>
    <t>1656254425810231296</t>
  </si>
  <si>
    <t>1655890505262137344</t>
  </si>
  <si>
    <t>1655529163053211648</t>
  </si>
  <si>
    <t>1654491153629167625</t>
  </si>
  <si>
    <t>1643924379355709443</t>
  </si>
  <si>
    <t>1643569212818878465</t>
  </si>
  <si>
    <t>1643205854542327809</t>
  </si>
  <si>
    <t>1642846614447333377</t>
  </si>
  <si>
    <t>1622906628713459716</t>
  </si>
  <si>
    <t>1622548774127120386</t>
  </si>
  <si>
    <t>1621467217589067776</t>
  </si>
  <si>
    <t>1618927607386632195</t>
  </si>
  <si>
    <t>1618560238118113282</t>
  </si>
  <si>
    <t>1618192016114094081</t>
  </si>
  <si>
    <t>1696837975424819532</t>
  </si>
  <si>
    <t>1696475826030526892</t>
  </si>
  <si>
    <t>1696119012294262997</t>
  </si>
  <si>
    <t>1692493741448118453</t>
  </si>
  <si>
    <t>1692129676896993705</t>
  </si>
  <si>
    <t>1687449924256878592</t>
  </si>
  <si>
    <t>1687051740925861888</t>
  </si>
  <si>
    <t>1686690161927548928</t>
  </si>
  <si>
    <t>1686339353759387650</t>
  </si>
  <si>
    <t>1680924352533987328</t>
  </si>
  <si>
    <t>1679820973279780864</t>
  </si>
  <si>
    <t>1679451637478305795</t>
  </si>
  <si>
    <t>1679070452541534209</t>
  </si>
  <si>
    <t>1676536089119432704</t>
  </si>
  <si>
    <t>1676181465233539074</t>
  </si>
  <si>
    <t>1675817341928583168</t>
  </si>
  <si>
    <t>1673613311416336385</t>
  </si>
  <si>
    <t>1673262375632347136</t>
  </si>
  <si>
    <t>1663860029580013573</t>
  </si>
  <si>
    <t>1663495899715186689</t>
  </si>
  <si>
    <t>1663130501777879043</t>
  </si>
  <si>
    <t>1662053695301861378</t>
  </si>
  <si>
    <t>1661679764598292482</t>
  </si>
  <si>
    <t>1661322684284690432</t>
  </si>
  <si>
    <t>1660956847476559875</t>
  </si>
  <si>
    <t>1651893915195260928</t>
  </si>
  <si>
    <t>1651550882616553472</t>
  </si>
  <si>
    <t>1651179825854390273</t>
  </si>
  <si>
    <t>1650449815979933696</t>
  </si>
  <si>
    <t>1639221872108740612</t>
  </si>
  <si>
    <t>1638847541981728768</t>
  </si>
  <si>
    <t>1638496292643958784</t>
  </si>
  <si>
    <t>1637762468440154117</t>
  </si>
  <si>
    <t>1637761005089349632</t>
  </si>
  <si>
    <t>1636677060012699648</t>
  </si>
  <si>
    <t>1636319210010705923</t>
  </si>
  <si>
    <t>1636022411479986177</t>
  </si>
  <si>
    <t>1702634921024446547</t>
  </si>
  <si>
    <t>1697556690307018959</t>
  </si>
  <si>
    <t>1694664003681767512</t>
  </si>
  <si>
    <t>1694280718338109487</t>
  </si>
  <si>
    <t>1691044497688268800</t>
  </si>
  <si>
    <t>1688518524174471168</t>
  </si>
  <si>
    <t>1634142629486112769</t>
  </si>
  <si>
    <t>1617479980052803586</t>
  </si>
  <si>
    <t>1616387358609313792</t>
  </si>
  <si>
    <t>1704086283318915390</t>
  </si>
  <si>
    <t>1701917065370653160</t>
  </si>
  <si>
    <t>1701555863289266280</t>
  </si>
  <si>
    <t>1701196654337036657</t>
  </si>
  <si>
    <t>1695014924726981010</t>
  </si>
  <si>
    <t>1691773327038160922</t>
  </si>
  <si>
    <t>1691400330972405760</t>
  </si>
  <si>
    <t>1689952267774955520</t>
  </si>
  <si>
    <t>1704450202420027888</t>
  </si>
  <si>
    <t>1703726357132214691</t>
  </si>
  <si>
    <t>1699004032147186099</t>
  </si>
  <si>
    <t>1697226856733229087</t>
  </si>
  <si>
    <t>1693937745519948008</t>
  </si>
  <si>
    <t>1693590868479836497</t>
  </si>
  <si>
    <t>1689587061051817989</t>
  </si>
  <si>
    <t>1689228243226734592</t>
  </si>
  <si>
    <t>1688869448587804672</t>
  </si>
  <si>
    <t>1635594808348626945</t>
  </si>
  <si>
    <t>1633051650226044929</t>
  </si>
  <si>
    <t>1632694074363768833</t>
  </si>
  <si>
    <t>1631612729596289025</t>
  </si>
  <si>
    <t>1631266824464613377</t>
  </si>
  <si>
    <t>1615664218023362560</t>
  </si>
  <si>
    <t>1615307622848004099</t>
  </si>
  <si>
    <t>1614977902851854341</t>
  </si>
  <si>
    <t>1666069783324897281</t>
  </si>
  <si>
    <t>1676681875522310144</t>
  </si>
  <si>
    <t>1676977451866398723</t>
  </si>
  <si>
    <t>1636342598720684033</t>
  </si>
  <si>
    <t>1615987240240381957</t>
  </si>
  <si>
    <t>1657370628029071362</t>
  </si>
  <si>
    <t>1623632725889499136</t>
  </si>
  <si>
    <t>1613818665605992450</t>
  </si>
  <si>
    <t>1613480203904221186</t>
  </si>
  <si>
    <t>1610953152857280512</t>
  </si>
  <si>
    <t>1678682229063467008</t>
  </si>
  <si>
    <t>1659141513811566594</t>
  </si>
  <si>
    <t>1658754052962803719</t>
  </si>
  <si>
    <t>1626170502224965632</t>
  </si>
  <si>
    <t>1681977709205807106</t>
  </si>
  <si>
    <t>1643373666007121922</t>
  </si>
  <si>
    <t>1619286257263349760</t>
  </si>
  <si>
    <t>1694264688857481243</t>
  </si>
  <si>
    <t>1624500576523370501</t>
  </si>
  <si>
    <t>1671532469739298823</t>
  </si>
  <si>
    <t>1602135382870597633</t>
  </si>
  <si>
    <t>1674078145874477056</t>
  </si>
  <si>
    <t>1618721929959022603</t>
  </si>
  <si>
    <t>1256602692220260355</t>
  </si>
  <si>
    <t>1585205443013578754</t>
  </si>
  <si>
    <t>1590431370421100546</t>
  </si>
  <si>
    <t>1701803326311190528</t>
  </si>
  <si>
    <t>1064846760353386497</t>
  </si>
  <si>
    <t>1479053296572768257</t>
  </si>
  <si>
    <t>1648997534868578305</t>
  </si>
  <si>
    <t>1572391826459435009</t>
  </si>
  <si>
    <t>1656323212521644032</t>
  </si>
  <si>
    <t>1580272390067654674</t>
  </si>
  <si>
    <t>1279773366807859200</t>
  </si>
  <si>
    <t>1400085362307969028</t>
  </si>
  <si>
    <t>1406602281697546245</t>
  </si>
  <si>
    <t>1648165630044958720</t>
  </si>
  <si>
    <t>713862409551745024</t>
  </si>
  <si>
    <t>1579932593235042305</t>
  </si>
  <si>
    <t>1555530831216709632</t>
  </si>
  <si>
    <t>1004874232231333889</t>
  </si>
  <si>
    <t>1518399064085348357</t>
  </si>
  <si>
    <t>1634221834966106113</t>
  </si>
  <si>
    <t>1474575515868618759</t>
  </si>
  <si>
    <t>1138777348713656320</t>
  </si>
  <si>
    <t>1510089977304170497</t>
  </si>
  <si>
    <t>1680909045329281026</t>
  </si>
  <si>
    <t>1512106104569876485</t>
  </si>
  <si>
    <t>1654128217580797952</t>
  </si>
  <si>
    <t>1638712419814916096</t>
  </si>
  <si>
    <t>1065065793967325184</t>
  </si>
  <si>
    <t>1390017150350467072</t>
  </si>
  <si>
    <t>966418582421811200</t>
  </si>
  <si>
    <t>1636203023646044160</t>
  </si>
  <si>
    <t>1623737697436151808</t>
  </si>
  <si>
    <t>1628383424435068929</t>
  </si>
  <si>
    <t>1444762833242230786</t>
  </si>
  <si>
    <t>1586490366576005120</t>
  </si>
  <si>
    <t>1493793862573342779</t>
  </si>
  <si>
    <t>1250415659760017408</t>
  </si>
  <si>
    <t>1369326693039636483</t>
  </si>
  <si>
    <t>1691292506493734913</t>
  </si>
  <si>
    <t>1465322324043964418</t>
  </si>
  <si>
    <t>1613934719632117763</t>
  </si>
  <si>
    <t>1617235873799577605</t>
  </si>
  <si>
    <t>1703413991261814784</t>
  </si>
  <si>
    <t>1663937282942828545</t>
  </si>
  <si>
    <t>1384906063372238851</t>
  </si>
  <si>
    <t>1533890900874649601</t>
  </si>
  <si>
    <t>1648803451613134854</t>
  </si>
  <si>
    <t>1608549283157970946</t>
  </si>
  <si>
    <t>1557925021254914049</t>
  </si>
  <si>
    <t>1392955982045753352</t>
  </si>
  <si>
    <t>992436837972103170</t>
  </si>
  <si>
    <t>1293067913453338625</t>
  </si>
  <si>
    <t>1254175068550311943</t>
  </si>
  <si>
    <t>861336605331795971</t>
  </si>
  <si>
    <t>1627801313814749192</t>
  </si>
  <si>
    <t>1124959383870418945</t>
  </si>
  <si>
    <t>1615599497161089025</t>
  </si>
  <si>
    <t>1631965834410164224</t>
  </si>
  <si>
    <t>1632391183384158216</t>
  </si>
  <si>
    <t>1147651023030411265</t>
  </si>
  <si>
    <t>1545740001014697992</t>
  </si>
  <si>
    <t>1451635932172533764</t>
  </si>
  <si>
    <t>1659634238411493377</t>
  </si>
  <si>
    <t>1643742903603195904</t>
  </si>
  <si>
    <t>1648454373796900865</t>
  </si>
  <si>
    <t>1499565778051469316</t>
  </si>
  <si>
    <t>1674958794067935232</t>
  </si>
  <si>
    <t>1622089004005957632</t>
  </si>
  <si>
    <t>1602970567807709184</t>
  </si>
  <si>
    <t>1624179524555382787</t>
  </si>
  <si>
    <t>1047537559860137984</t>
  </si>
  <si>
    <t>1681729719144726533</t>
  </si>
  <si>
    <t>1586336892244688896</t>
  </si>
  <si>
    <t>1150784944420970497</t>
  </si>
  <si>
    <t>958657937475559425</t>
  </si>
  <si>
    <t>1623792207047143426</t>
  </si>
  <si>
    <t>1590716000101597185</t>
  </si>
  <si>
    <t>795452166521634816</t>
  </si>
  <si>
    <t>832340075086278656</t>
  </si>
  <si>
    <t>1602016902796255233</t>
  </si>
  <si>
    <t>1615710773631664134</t>
  </si>
  <si>
    <t>1662247847423516674</t>
  </si>
  <si>
    <t>1612105648036012036</t>
  </si>
  <si>
    <t>1630191287126073344</t>
  </si>
  <si>
    <t>1670472379623981068</t>
  </si>
  <si>
    <t>1185812324696907776</t>
  </si>
  <si>
    <t>1586949318900006912</t>
  </si>
  <si>
    <t>1539703354884079616</t>
  </si>
  <si>
    <t>1611474146063532033</t>
  </si>
  <si>
    <t>1397324365268766723</t>
  </si>
  <si>
    <t>1607743902496309250</t>
  </si>
  <si>
    <t>1582182297708773377</t>
  </si>
  <si>
    <t>1030086613349617666</t>
  </si>
  <si>
    <t>1273138459402801153</t>
  </si>
  <si>
    <t>1250487151231406081</t>
  </si>
  <si>
    <t>1577085271308472320</t>
  </si>
  <si>
    <t>1689419869530345472</t>
  </si>
  <si>
    <t>1076590404819189766</t>
  </si>
  <si>
    <t>1407291767758757890</t>
  </si>
  <si>
    <t>1650837402607386624</t>
  </si>
  <si>
    <t>1654208646589427715</t>
  </si>
  <si>
    <t>1566980779250425856</t>
  </si>
  <si>
    <t>1618451874620866560</t>
  </si>
  <si>
    <t>1612190666787885056</t>
  </si>
  <si>
    <t>1635492170684846081</t>
  </si>
  <si>
    <t>1534256776333381634</t>
  </si>
  <si>
    <t>1647657073973313536</t>
  </si>
  <si>
    <t>1612480070999760898</t>
  </si>
  <si>
    <t>1459660972575047682</t>
  </si>
  <si>
    <t>1168491172341243905</t>
  </si>
  <si>
    <t>1496933378272206853</t>
  </si>
  <si>
    <t>1423077194780270596</t>
  </si>
  <si>
    <t>1595826117025439747</t>
  </si>
  <si>
    <t>1639016251438645248</t>
  </si>
  <si>
    <t>1489544001032273925</t>
  </si>
  <si>
    <t>1121181531593113601</t>
  </si>
  <si>
    <t>1614399091961729032</t>
  </si>
  <si>
    <t>1655297896474984448</t>
  </si>
  <si>
    <t>1690803524295172097</t>
  </si>
  <si>
    <t>1618354840773459968</t>
  </si>
  <si>
    <t>1460813369750044675</t>
  </si>
  <si>
    <t>1673747869893836801</t>
  </si>
  <si>
    <t>1701630233651109888</t>
  </si>
  <si>
    <t>1686430714378485760</t>
  </si>
  <si>
    <t>1656466547450290179</t>
  </si>
  <si>
    <t>1607333550252072972</t>
  </si>
  <si>
    <t>1541699053112938496</t>
  </si>
  <si>
    <t>1701198459557044224</t>
  </si>
  <si>
    <t>1678425571288571904</t>
  </si>
  <si>
    <t>1675130387658407938</t>
  </si>
  <si>
    <t>1686198677990219776</t>
  </si>
  <si>
    <t>1423436794289393666</t>
  </si>
  <si>
    <t>1585093874824929280</t>
  </si>
  <si>
    <t>1494033577427849218</t>
  </si>
  <si>
    <t>1628394434000715776</t>
  </si>
  <si>
    <t>1640399325669752837</t>
  </si>
  <si>
    <t>1611730749866053634</t>
  </si>
  <si>
    <t>1574364698119634944</t>
  </si>
  <si>
    <t>1652732216428855298</t>
  </si>
  <si>
    <t>1272691383418138624</t>
  </si>
  <si>
    <t>1630406848095440897</t>
  </si>
  <si>
    <t>1637878912662339584</t>
  </si>
  <si>
    <t>1682379661215399938</t>
  </si>
  <si>
    <t>1476635490124288002</t>
  </si>
  <si>
    <t>1600911730024091654</t>
  </si>
  <si>
    <t>1624955264637063171</t>
  </si>
  <si>
    <t>1632447388383150082</t>
  </si>
  <si>
    <t>788727561744420865</t>
  </si>
  <si>
    <t>1662512921702719490</t>
  </si>
  <si>
    <t>1432819503604326400</t>
  </si>
  <si>
    <t>1229418075633700866</t>
  </si>
  <si>
    <t>1021187088480260096</t>
  </si>
  <si>
    <t>1686086283305660417</t>
  </si>
  <si>
    <t>1697723671329058816</t>
  </si>
  <si>
    <t>1617568330553999385</t>
  </si>
  <si>
    <t>1417118645533151233</t>
  </si>
  <si>
    <t>761450337421103104</t>
  </si>
  <si>
    <t>1222897351712313347</t>
  </si>
  <si>
    <t>1491870899401891841</t>
  </si>
  <si>
    <t>1649555797368619010</t>
  </si>
  <si>
    <t>1570934663446683649</t>
  </si>
  <si>
    <t>1681672133779267584</t>
  </si>
  <si>
    <t>1643609098527596551</t>
  </si>
  <si>
    <t>1629500126103207937</t>
  </si>
  <si>
    <t>1628179051981557760</t>
  </si>
  <si>
    <t>1629477555328696320</t>
  </si>
  <si>
    <t>1480492619541139457</t>
  </si>
  <si>
    <t>1496710348518400000</t>
  </si>
  <si>
    <t>1650469593952014340</t>
  </si>
  <si>
    <t>1514398421393752065</t>
  </si>
  <si>
    <t>1247601255259820039</t>
  </si>
  <si>
    <t>1655993374497701895</t>
  </si>
  <si>
    <t>1698533227873423360</t>
  </si>
  <si>
    <t>1641813863581491201</t>
  </si>
  <si>
    <t>1620359246444462080</t>
  </si>
  <si>
    <t>1492320278474637315</t>
  </si>
  <si>
    <t>1555585592892825600</t>
  </si>
  <si>
    <t>1524920320037199872</t>
  </si>
  <si>
    <t>1434474102094454791</t>
  </si>
  <si>
    <t>1155637726433165312</t>
  </si>
  <si>
    <t>1616376531130908674</t>
  </si>
  <si>
    <t>1617304317840482306</t>
  </si>
  <si>
    <t>1701945796449488896</t>
  </si>
  <si>
    <t>1652425269699854337</t>
  </si>
  <si>
    <t>1517708223251464193</t>
  </si>
  <si>
    <t>1561266868119547904</t>
  </si>
  <si>
    <t>1308036876457177089</t>
  </si>
  <si>
    <t>1456774443104100353</t>
  </si>
  <si>
    <t>887432414972301313</t>
  </si>
  <si>
    <t>1645967551141216258</t>
  </si>
  <si>
    <t>1343515747016962048</t>
  </si>
  <si>
    <t>1663342154926661632</t>
  </si>
  <si>
    <t>1348673418057703424</t>
  </si>
  <si>
    <t>1670529645895098369</t>
  </si>
  <si>
    <t>1601223966475141123</t>
  </si>
  <si>
    <t>1663716530788487168</t>
  </si>
  <si>
    <t>1699783432593960960</t>
  </si>
  <si>
    <t>1674551834323607557</t>
  </si>
  <si>
    <t>1462123907419410437</t>
  </si>
  <si>
    <t>1240364225358372865</t>
  </si>
  <si>
    <t>1620875889817882625</t>
  </si>
  <si>
    <t>1459903672129933316</t>
  </si>
  <si>
    <t>1621499432742043650</t>
  </si>
  <si>
    <t>1580238246923083778</t>
  </si>
  <si>
    <t>1334797515061915649</t>
  </si>
  <si>
    <t>1528775180939673602</t>
  </si>
  <si>
    <t>1687866596222492672</t>
  </si>
  <si>
    <t>1634520106922385408</t>
  </si>
  <si>
    <t>1222939896349970432</t>
  </si>
  <si>
    <t>1616018817733525506</t>
  </si>
  <si>
    <t>1414501510285758466</t>
  </si>
  <si>
    <t>1601650089537277957</t>
  </si>
  <si>
    <t>1417542239841103875</t>
  </si>
  <si>
    <t>1569502155681464321</t>
  </si>
  <si>
    <t>1661325802779328513</t>
  </si>
  <si>
    <t>1214219559449661440</t>
  </si>
  <si>
    <t>1220894892827856896</t>
  </si>
  <si>
    <t>1638789614298095616</t>
  </si>
  <si>
    <t>1698655884031746048</t>
  </si>
  <si>
    <t>1629520801710874625</t>
  </si>
  <si>
    <t>1288564823182147584</t>
  </si>
  <si>
    <t>1622584977236828164</t>
  </si>
  <si>
    <t>1656796477874659328</t>
  </si>
  <si>
    <t>1618887061309726720</t>
  </si>
  <si>
    <t>1306609003691114496</t>
  </si>
  <si>
    <t>1412377522248028167</t>
  </si>
  <si>
    <t>1337814857987608578</t>
  </si>
  <si>
    <t>1576277897735725056</t>
  </si>
  <si>
    <t>1115463576066646017</t>
  </si>
  <si>
    <t>782961882634280960</t>
  </si>
  <si>
    <t>1067414029537341446</t>
  </si>
  <si>
    <t>1526994674782814208</t>
  </si>
  <si>
    <t>1674215089526767617</t>
  </si>
  <si>
    <t>1622350462459469825</t>
  </si>
  <si>
    <t>764049471151886336</t>
  </si>
  <si>
    <t>1476696633010270209</t>
  </si>
  <si>
    <t>1495836411165036545</t>
  </si>
  <si>
    <t>1665913665466368003</t>
  </si>
  <si>
    <t>1449490470619463680</t>
  </si>
  <si>
    <t>1610689948566392867</t>
  </si>
  <si>
    <t>1636371903555473408</t>
  </si>
  <si>
    <t>1619132839852662785</t>
  </si>
  <si>
    <t>1612808504179302401</t>
  </si>
  <si>
    <t>1687298558649675776</t>
  </si>
  <si>
    <t>Name</t>
  </si>
  <si>
    <t>User ID</t>
  </si>
  <si>
    <t>Followers</t>
  </si>
  <si>
    <t>Followed</t>
  </si>
  <si>
    <t>Tweets</t>
  </si>
  <si>
    <t>Listed Count</t>
  </si>
  <si>
    <t>Favourites Count</t>
  </si>
  <si>
    <t>Media Count</t>
  </si>
  <si>
    <t>Verified</t>
  </si>
  <si>
    <t>Joined Twitter Date (UTC)</t>
  </si>
  <si>
    <t>Location</t>
  </si>
  <si>
    <t>Description</t>
  </si>
  <si>
    <t>URLs (Details)</t>
  </si>
  <si>
    <t>Expanded URLs (Details)</t>
  </si>
  <si>
    <t>Display URLs (Details)</t>
  </si>
  <si>
    <t>Description URLs (Details)</t>
  </si>
  <si>
    <t>Description Expanded URLs (Details)</t>
  </si>
  <si>
    <t>Description Display URLS (Details)</t>
  </si>
  <si>
    <t>Pinned Tweet ID</t>
  </si>
  <si>
    <t>URL</t>
  </si>
  <si>
    <t>Is Blue Verified</t>
  </si>
  <si>
    <t>You Are Followed By</t>
  </si>
  <si>
    <t>You Are Following</t>
  </si>
  <si>
    <t>Can DM</t>
  </si>
  <si>
    <t>Can Media Tag</t>
  </si>
  <si>
    <t>Default Profile</t>
  </si>
  <si>
    <t>Default Profile Image</t>
  </si>
  <si>
    <t>Has Custom Timelines</t>
  </si>
  <si>
    <t>Is Translator</t>
  </si>
  <si>
    <t>Profile Banner URL</t>
  </si>
  <si>
    <t>Profile Interstitial Type</t>
  </si>
  <si>
    <t>Translator Type</t>
  </si>
  <si>
    <t>Want Retweets</t>
  </si>
  <si>
    <t>Withheld</t>
  </si>
  <si>
    <t>Tweeted Search Term?</t>
  </si>
  <si>
    <t>Custom Menu Item Text</t>
  </si>
  <si>
    <t>Custom Menu Item Action</t>
  </si>
  <si>
    <t>Ⓜ️🦆</t>
  </si>
  <si>
    <t>Thiago Maduro</t>
  </si>
  <si>
    <t>Jhonatan de lima Morais</t>
  </si>
  <si>
    <t>Matemática Financeira</t>
  </si>
  <si>
    <t>Investoom_feed</t>
  </si>
  <si>
    <t>Rony Sampaio</t>
  </si>
  <si>
    <t>Finance Info Hindi</t>
  </si>
  <si>
    <t>AGIL CONTADORES</t>
  </si>
  <si>
    <t>Radio Aurora Boreal</t>
  </si>
  <si>
    <t>We❤Bitcoin</t>
  </si>
  <si>
    <t>Lisa B Nelson</t>
  </si>
  <si>
    <t>Uilliam Manganelli</t>
  </si>
  <si>
    <t>Af_Liberdade_Financeira</t>
  </si>
  <si>
    <t>Futuraflow</t>
  </si>
  <si>
    <t>Agrocapitais</t>
  </si>
  <si>
    <t>Academia do Dinheiro</t>
  </si>
  <si>
    <t>e-loan Soluções Financeiras</t>
  </si>
  <si>
    <t>Fábio Santana</t>
  </si>
  <si>
    <t>Alexandra Silva</t>
  </si>
  <si>
    <t>APILFI</t>
  </si>
  <si>
    <t>Giordano Fernandes</t>
  </si>
  <si>
    <t>Aqua Invest 💰</t>
  </si>
  <si>
    <t>Fairspin PT</t>
  </si>
  <si>
    <t>Augustonery.eth</t>
  </si>
  <si>
    <t>humberto maia</t>
  </si>
  <si>
    <t>Evandro Dutra</t>
  </si>
  <si>
    <t>Bolsa Inteligente</t>
  </si>
  <si>
    <t>GIOVANI ANDRÉ DOMINGUES</t>
  </si>
  <si>
    <t>Silvana Rosa</t>
  </si>
  <si>
    <t>Ewerton Uchôa</t>
  </si>
  <si>
    <t>CrypNova || Airdrop &amp; Crypto &amp; Blockchain and more</t>
  </si>
  <si>
    <t>Stanley Calderelli ⚡</t>
  </si>
  <si>
    <t>Breno Santos | BS</t>
  </si>
  <si>
    <t>BIT FREEDOM GUS</t>
  </si>
  <si>
    <t>Rocelo Lopes</t>
  </si>
  <si>
    <t>bossladymillionaire</t>
  </si>
  <si>
    <t>Veiga fla</t>
  </si>
  <si>
    <t>egsinvestimentos</t>
  </si>
  <si>
    <t>Agência Constelação</t>
  </si>
  <si>
    <t>William Hunt - Finanças Pessoais e Investimentos</t>
  </si>
  <si>
    <t>Raiam Parts</t>
  </si>
  <si>
    <t>arbv assessoria</t>
  </si>
  <si>
    <t>Achados do Dhon</t>
  </si>
  <si>
    <t>Sidney Santos</t>
  </si>
  <si>
    <t>Paulo Henrique</t>
  </si>
  <si>
    <t>erik_ofc</t>
  </si>
  <si>
    <t>Seu tempo em renda</t>
  </si>
  <si>
    <t>Comprar e Esperar</t>
  </si>
  <si>
    <t>Rosa Cunha</t>
  </si>
  <si>
    <t>Bora Falar de Guito</t>
  </si>
  <si>
    <t>WEWE GLOBAL</t>
  </si>
  <si>
    <t>Dracma</t>
  </si>
  <si>
    <t>Rodrigo Pereira 🇧🇷 - 🚀</t>
  </si>
  <si>
    <t>🇧🇷🇺🇸Paula Rodrigues.Invest</t>
  </si>
  <si>
    <t>andrenegocios</t>
  </si>
  <si>
    <t>Marketing Digital</t>
  </si>
  <si>
    <t>Academia Finanças®</t>
  </si>
  <si>
    <t>MoneyLab</t>
  </si>
  <si>
    <t>infogain</t>
  </si>
  <si>
    <t>Minter | Educação Financeira</t>
  </si>
  <si>
    <t>Trader Saed Rashid Investimentos digital</t>
  </si>
  <si>
    <t>Irineu Berezanski</t>
  </si>
  <si>
    <t>leandro M. 🇧🇷 🌎</t>
  </si>
  <si>
    <t>CryptoCuisto</t>
  </si>
  <si>
    <t>Ariel Yaari</t>
  </si>
  <si>
    <t>Vendas On-line</t>
  </si>
  <si>
    <t>Luis henrique Gimenes</t>
  </si>
  <si>
    <t>Empréstimo para Negativados</t>
  </si>
  <si>
    <t>Jonas Rocha</t>
  </si>
  <si>
    <t>StudioMadeHits</t>
  </si>
  <si>
    <t>Jerry Fetta</t>
  </si>
  <si>
    <t>Luiz Flavio Herbst</t>
  </si>
  <si>
    <t>WISKTON</t>
  </si>
  <si>
    <t>Fernando Kobuti, CFP®</t>
  </si>
  <si>
    <t>jornal digital360</t>
  </si>
  <si>
    <t>vagner.lens (🌸, 🌿)</t>
  </si>
  <si>
    <t>RV_RAFAEL_VIEIRA 🎤</t>
  </si>
  <si>
    <t>Nuno Costa 𝕏</t>
  </si>
  <si>
    <t>Ilha Investimentos 🏝📈</t>
  </si>
  <si>
    <t>Hil Vieira</t>
  </si>
  <si>
    <t>CYAN PERSONAL</t>
  </si>
  <si>
    <t>Alexandra Seixas - Empreender</t>
  </si>
  <si>
    <t>Helio Couto</t>
  </si>
  <si>
    <t>Invisto Ad Eternum</t>
  </si>
  <si>
    <t>Lux Capital</t>
  </si>
  <si>
    <t>Tiago Costa</t>
  </si>
  <si>
    <t>Mulekada Investidora</t>
  </si>
  <si>
    <t>Mises Capitalista</t>
  </si>
  <si>
    <t>Deborah Telles Lemos</t>
  </si>
  <si>
    <t>Blog Para o Povo</t>
  </si>
  <si>
    <t>Cryptonoide</t>
  </si>
  <si>
    <t>Helpline Finace digital</t>
  </si>
  <si>
    <t>Soft Technology</t>
  </si>
  <si>
    <t>Leandro Marques</t>
  </si>
  <si>
    <t>Beatriz Vahl</t>
  </si>
  <si>
    <t>Biette</t>
  </si>
  <si>
    <t>Prosper Group</t>
  </si>
  <si>
    <t>Sicoob Crediara</t>
  </si>
  <si>
    <t>Joseane Soll</t>
  </si>
  <si>
    <t>Suno Notícias</t>
  </si>
  <si>
    <t>izaias liborio</t>
  </si>
  <si>
    <t>Cammila Torres</t>
  </si>
  <si>
    <t>Vitor Lourenço</t>
  </si>
  <si>
    <t>José Carlos</t>
  </si>
  <si>
    <t>Debora Rosa</t>
  </si>
  <si>
    <t>Achados de Marketing</t>
  </si>
  <si>
    <t>Brunno</t>
  </si>
  <si>
    <t>Eduardo_m.p</t>
  </si>
  <si>
    <t>Rodrigo Lopes Rodrigues</t>
  </si>
  <si>
    <t>Marcia Sigler - Radio Ação Brasil</t>
  </si>
  <si>
    <t>Como Reinventar-se</t>
  </si>
  <si>
    <t>Leonidas Silva Andrade Melo</t>
  </si>
  <si>
    <t>YouTube</t>
  </si>
  <si>
    <t>Júlio Maurício</t>
  </si>
  <si>
    <t>brookz ₿</t>
  </si>
  <si>
    <t>EddieOz ⚡</t>
  </si>
  <si>
    <t>Finvestmentor</t>
  </si>
  <si>
    <t>Kevin</t>
  </si>
  <si>
    <t>WilsondeSousa_</t>
  </si>
  <si>
    <t>Banco ATITUDE</t>
  </si>
  <si>
    <t>barce cripto🛸</t>
  </si>
  <si>
    <t>𝕁𝕦𝕝𝕚𝕒𝕟𝕒 𝕆𝕝𝕚𝕧𝕖𝕚𝕣𝕒 ®™ | Vendas Online</t>
  </si>
  <si>
    <t>Marcos Antonio C Cardoso</t>
  </si>
  <si>
    <t>Gustavo Almeida</t>
  </si>
  <si>
    <t>Adriano Camenhe</t>
  </si>
  <si>
    <t>Áureo D. Rodrigues</t>
  </si>
  <si>
    <t>Investoom</t>
  </si>
  <si>
    <t>Paladin 🎖</t>
  </si>
  <si>
    <t>Ariel Matualunda</t>
  </si>
  <si>
    <t>ANTONELLA PAIVA</t>
  </si>
  <si>
    <t>Natalia Dalat</t>
  </si>
  <si>
    <t>Matheus</t>
  </si>
  <si>
    <t>L dourado</t>
  </si>
  <si>
    <t>Tuco</t>
  </si>
  <si>
    <t>Giro Financeiro</t>
  </si>
  <si>
    <t>e3b7a47549ab306567a63da54daa6312</t>
  </si>
  <si>
    <t>Money Markets</t>
  </si>
  <si>
    <t>Patricia Amorim</t>
  </si>
  <si>
    <t>Luciano Mathias | NFT NYC 2023 | DappRadar Amb.</t>
  </si>
  <si>
    <t>Pamela Marks</t>
  </si>
  <si>
    <t>Diego Daniel</t>
  </si>
  <si>
    <t>Patricia Lucachinski</t>
  </si>
  <si>
    <t>WikiFX Brasil</t>
  </si>
  <si>
    <t>Daniel Arai</t>
  </si>
  <si>
    <t>davidejesus.eth</t>
  </si>
  <si>
    <t>Dom Investidor</t>
  </si>
  <si>
    <t>MeineFreundinistMillionaerin</t>
  </si>
  <si>
    <t>Miguel Nogueira - A Rebelião das Cryptos</t>
  </si>
  <si>
    <t>𝕱𝖑𝖆𝖛𝖎𝖆 𝕸𝖆𝖗𝖎𝖆 🦋🇧🇷</t>
  </si>
  <si>
    <t>Puneet Kohli</t>
  </si>
  <si>
    <t>Mova-se Empreendedor</t>
  </si>
  <si>
    <t>Ailton santana rocha</t>
  </si>
  <si>
    <t>Joana D'Arc do Carmo Soares</t>
  </si>
  <si>
    <t>Cassius</t>
  </si>
  <si>
    <t>TradeDork Portugues</t>
  </si>
  <si>
    <t>@7t_store_oficial/ @imported.7t</t>
  </si>
  <si>
    <t>XZIBank</t>
  </si>
  <si>
    <t>Exnova Portuguese</t>
  </si>
  <si>
    <t>← Moisés Liins</t>
  </si>
  <si>
    <t>Ricardo Cancio Santos</t>
  </si>
  <si>
    <t>Tainan</t>
  </si>
  <si>
    <t>CriptoBtc.com.br</t>
  </si>
  <si>
    <t>God Is A Hodler</t>
  </si>
  <si>
    <t>Eduardo Gomes</t>
  </si>
  <si>
    <t>Modelo de Vida</t>
  </si>
  <si>
    <t>ALESSANDRA PEREIRA DOS SANTOS</t>
  </si>
  <si>
    <t>FuvirBrasil</t>
  </si>
  <si>
    <t>Henrique Caldeira</t>
  </si>
  <si>
    <t>jovem ff</t>
  </si>
  <si>
    <t>Cortes do Rei Ratão</t>
  </si>
  <si>
    <t>Direito Para Investidor</t>
  </si>
  <si>
    <t>Money Raio</t>
  </si>
  <si>
    <t>Aziz Basry</t>
  </si>
  <si>
    <t>Vegsolutions</t>
  </si>
  <si>
    <t>CIO Women Magazine</t>
  </si>
  <si>
    <t>HACKER DO ORGÂNICO</t>
  </si>
  <si>
    <t>Itaborai Santos</t>
  </si>
  <si>
    <t>Blackhat Portugal</t>
  </si>
  <si>
    <t>Tome Ação!</t>
  </si>
  <si>
    <t>Felipe Tadewald</t>
  </si>
  <si>
    <t>Marcia Camargo - Clínica Washington Amancio</t>
  </si>
  <si>
    <t>Geração Milionária</t>
  </si>
  <si>
    <t>L&amp;P Consultoria</t>
  </si>
  <si>
    <t>Dili Silva</t>
  </si>
  <si>
    <t>Caminho do Investimento</t>
  </si>
  <si>
    <t>Roberto Grande</t>
  </si>
  <si>
    <t>Cortes Marketing Digital</t>
  </si>
  <si>
    <t>Conquistando Liberdade</t>
  </si>
  <si>
    <t>Most Billion</t>
  </si>
  <si>
    <t>Consultor Financeiro Igor Vieira</t>
  </si>
  <si>
    <t>AFUN</t>
  </si>
  <si>
    <t>Grana</t>
  </si>
  <si>
    <t>lsaias sousa de Melo.</t>
  </si>
  <si>
    <t>Neto Rebello</t>
  </si>
  <si>
    <t>Espectro de Negocios</t>
  </si>
  <si>
    <t>PA Wealth</t>
  </si>
  <si>
    <t>CA Paras Behl</t>
  </si>
  <si>
    <t>Jornada do estrangeiro investidor</t>
  </si>
  <si>
    <t>Joana Rodrigues</t>
  </si>
  <si>
    <t>Pensador</t>
  </si>
  <si>
    <t>Raineli Caroline</t>
  </si>
  <si>
    <t>Julio Rodrigues</t>
  </si>
  <si>
    <t>hustlersmotivationmz</t>
  </si>
  <si>
    <t>Fabio Costa</t>
  </si>
  <si>
    <t>Paulino Santos</t>
  </si>
  <si>
    <t>Ana Paula Régis</t>
  </si>
  <si>
    <t>Bruno Silia Machado | Consultor Financeiro</t>
  </si>
  <si>
    <t>Laura Rocha</t>
  </si>
  <si>
    <t>Bitfinex em Português</t>
  </si>
  <si>
    <t>Mi Primer Bitcoin</t>
  </si>
  <si>
    <t>Bitfinex</t>
  </si>
  <si>
    <t>Leão do Oeste</t>
  </si>
  <si>
    <t>Web3PT</t>
  </si>
  <si>
    <t>Romneygalo</t>
  </si>
  <si>
    <t>Verdades inconvenientes sobre o mercado financeiro</t>
  </si>
  <si>
    <t>Carlos Teles</t>
  </si>
  <si>
    <t>Cláudia Marques</t>
  </si>
  <si>
    <t>May Brand</t>
  </si>
  <si>
    <t>Expresso &amp; Liberdade</t>
  </si>
  <si>
    <t>Investidor Frugal</t>
  </si>
  <si>
    <t>Atlantic Bank</t>
  </si>
  <si>
    <t>Criss Pellegrin | RH e Carreira</t>
  </si>
  <si>
    <t>Neoin</t>
  </si>
  <si>
    <t>Evovee</t>
  </si>
  <si>
    <t>Rafael Amorim</t>
  </si>
  <si>
    <t>Hailson Souza MKT</t>
  </si>
  <si>
    <t>Sejabimanager</t>
  </si>
  <si>
    <t>De trader pra trader</t>
  </si>
  <si>
    <t>American Trading Academy - Brasil | Ricardo</t>
  </si>
  <si>
    <t>Rodrigo Itaya</t>
  </si>
  <si>
    <t>R2 Premium Negócios Online</t>
  </si>
  <si>
    <t>Nuno Andrade</t>
  </si>
  <si>
    <t>Brina Invest</t>
  </si>
  <si>
    <t>Lucas Augusto</t>
  </si>
  <si>
    <t>Jota Vela pelo caminho</t>
  </si>
  <si>
    <t>Eduardo | Motivação</t>
  </si>
  <si>
    <t>aleatorio 🧠💸</t>
  </si>
  <si>
    <t>Wagner Geremia</t>
  </si>
  <si>
    <t>Mediterranean Investor</t>
  </si>
  <si>
    <t>Linear Pay</t>
  </si>
  <si>
    <t>francelm_contabilidade</t>
  </si>
  <si>
    <t>LETICÍAB GOUVEIA</t>
  </si>
  <si>
    <t>Alme de Oliveira</t>
  </si>
  <si>
    <t>Murilo Satler</t>
  </si>
  <si>
    <t>Davidson - Pense Rico</t>
  </si>
  <si>
    <t>Patroa Milionária</t>
  </si>
  <si>
    <t>you.com</t>
  </si>
  <si>
    <t>Jvaspawn (Investimento pagando 1% ao dia!)</t>
  </si>
  <si>
    <t>Mentor Milionário</t>
  </si>
  <si>
    <t>Abel Silva</t>
  </si>
  <si>
    <t>dlrsᙇ 🛡️🪬</t>
  </si>
  <si>
    <t>Bryan-c</t>
  </si>
  <si>
    <t>Adriel Cardoso</t>
  </si>
  <si>
    <t>Como empreender Online - Marketing Digital</t>
  </si>
  <si>
    <t>IBRAHIM</t>
  </si>
  <si>
    <t>MT - Rotciv</t>
  </si>
  <si>
    <t>Caminhos da Renda</t>
  </si>
  <si>
    <t>BHAVYA RAJWANSHI</t>
  </si>
  <si>
    <t>Investimento Objetivo</t>
  </si>
  <si>
    <t>Bybot_Robô</t>
  </si>
  <si>
    <t>Braguim</t>
  </si>
  <si>
    <t>Diego Skda</t>
  </si>
  <si>
    <t>Ana Flavia Martins</t>
  </si>
  <si>
    <t>Cleu</t>
  </si>
  <si>
    <t>Guardar Dinheiro💰 | Finanças Pessoais</t>
  </si>
  <si>
    <t>Lucian Freire</t>
  </si>
  <si>
    <t>TAMONEY | Ganhar dinheiro | Empreendedorismo</t>
  </si>
  <si>
    <t>Previsões</t>
  </si>
  <si>
    <t>GptDinheiro</t>
  </si>
  <si>
    <t>Ghost 🧠</t>
  </si>
  <si>
    <t>NOTAS FAKES E CARTÕES CLONADOS</t>
  </si>
  <si>
    <t>Inteligencia Monetaria</t>
  </si>
  <si>
    <t>Profissao Home Office</t>
  </si>
  <si>
    <t>Rodrigo Fala Sobre:</t>
  </si>
  <si>
    <t>Clube de Ricos</t>
  </si>
  <si>
    <t>Gabriel Costa</t>
  </si>
  <si>
    <t>Stephanie Ceccon</t>
  </si>
  <si>
    <t>marc</t>
  </si>
  <si>
    <t>Queres ajuda no ChatGPT | Bard AI ? Segue para +🔍</t>
  </si>
  <si>
    <t>Tio Jhony Eth</t>
  </si>
  <si>
    <t>Milionária Em 10 Anos</t>
  </si>
  <si>
    <t>Marcos Melo</t>
  </si>
  <si>
    <t>MELD</t>
  </si>
  <si>
    <t>Marcos França</t>
  </si>
  <si>
    <t>Dawison Barbosa</t>
  </si>
  <si>
    <t>Otávio Beltrame</t>
  </si>
  <si>
    <t>Dracma token</t>
  </si>
  <si>
    <t>Canal Dinheiro Digital Cripto</t>
  </si>
  <si>
    <t>Liga Crypto</t>
  </si>
  <si>
    <t>Revista Oeste</t>
  </si>
  <si>
    <t>Marcos Cleber 🇧🇷💢</t>
  </si>
  <si>
    <t>Micheli Cerchiari</t>
  </si>
  <si>
    <t>Graphichood</t>
  </si>
  <si>
    <t>Vectplus7</t>
  </si>
  <si>
    <t>ManIAm</t>
  </si>
  <si>
    <t>Aryanne Victoria</t>
  </si>
  <si>
    <t>Como Ganhar Dinheiro Na Internet</t>
  </si>
  <si>
    <t>Abner Melo Falcao</t>
  </si>
  <si>
    <t>Rodrigo Zampronio</t>
  </si>
  <si>
    <t>Greenland Corp</t>
  </si>
  <si>
    <t>KuCoin Português</t>
  </si>
  <si>
    <t>A sereia mais doida do mar🧜🏼‍♀️</t>
  </si>
  <si>
    <t>Fala Barreiras</t>
  </si>
  <si>
    <t>Júlio César</t>
  </si>
  <si>
    <t>Miami Beach Elevator.btc 🗽🐇⚡🏄⛵</t>
  </si>
  <si>
    <t>Marco Antônio</t>
  </si>
  <si>
    <t>Adriel Jesus</t>
  </si>
  <si>
    <t>Descomplica - Finanças para Todos</t>
  </si>
  <si>
    <t>Enriquecendo com Ações</t>
  </si>
  <si>
    <t>Dan Mendes BR</t>
  </si>
  <si>
    <t>Fernando Augusto 【ツ】</t>
  </si>
  <si>
    <t>Kako Ramos</t>
  </si>
  <si>
    <t>milionxz</t>
  </si>
  <si>
    <t>Jovem Empreendedor</t>
  </si>
  <si>
    <t>HOPE - Saúde</t>
  </si>
  <si>
    <t>Anderson Zambelli</t>
  </si>
  <si>
    <t>Fundos Imobiliários</t>
  </si>
  <si>
    <t>FAVELADO INVESTIDOR 💎</t>
  </si>
  <si>
    <t>Siac Sistemas</t>
  </si>
  <si>
    <t>Fe&amp;Trabalho</t>
  </si>
  <si>
    <t>Keep Growing</t>
  </si>
  <si>
    <t>Finanças</t>
  </si>
  <si>
    <t>Natercia Manuela</t>
  </si>
  <si>
    <t>miguelrr.eth</t>
  </si>
  <si>
    <t>Luciane Goncalves</t>
  </si>
  <si>
    <t>Rosângela Marques</t>
  </si>
  <si>
    <t>Concierge Bitcoin</t>
  </si>
  <si>
    <t>GustavoIbáñezPadilla</t>
  </si>
  <si>
    <t>bey</t>
  </si>
  <si>
    <t>EVOY CONSÓRCIOS</t>
  </si>
  <si>
    <t>AchadinhosDaAllexia</t>
  </si>
  <si>
    <t>Inês Santos</t>
  </si>
  <si>
    <t>A Fonte Universal</t>
  </si>
  <si>
    <t>Duduh Rosa</t>
  </si>
  <si>
    <t>Marcos A. A. Barbosa</t>
  </si>
  <si>
    <t>holisticinvestment.in</t>
  </si>
  <si>
    <t>Rafael Costa</t>
  </si>
  <si>
    <t>Brenda Julia</t>
  </si>
  <si>
    <t>Arrcanjjo🔊</t>
  </si>
  <si>
    <t>Andrey Nousi, CFA</t>
  </si>
  <si>
    <t>Estante Virtual</t>
  </si>
  <si>
    <t>Jhenifer Cristina</t>
  </si>
  <si>
    <t>Mestre do Marketing</t>
  </si>
  <si>
    <t>romero.financas</t>
  </si>
  <si>
    <t>Senhor Negócios Digitais</t>
  </si>
  <si>
    <t>Portal Blurbi</t>
  </si>
  <si>
    <t>Luciclaudio Guedes</t>
  </si>
  <si>
    <t>HENLE | Investimentos &amp; Macroeconomia</t>
  </si>
  <si>
    <t>takes do ferini</t>
  </si>
  <si>
    <t>Fellipe Ferini</t>
  </si>
  <si>
    <t>Gabriela Mosmann, CFP, CGA.</t>
  </si>
  <si>
    <t>@mente.blindados</t>
  </si>
  <si>
    <t>27124565</t>
  </si>
  <si>
    <t>75173434</t>
  </si>
  <si>
    <t>2257002404</t>
  </si>
  <si>
    <t>13200062</t>
  </si>
  <si>
    <t>2868134025</t>
  </si>
  <si>
    <t>76695494</t>
  </si>
  <si>
    <t>337735931</t>
  </si>
  <si>
    <t>64904940</t>
  </si>
  <si>
    <t>175759125</t>
  </si>
  <si>
    <t>536380588</t>
  </si>
  <si>
    <t>2945855064</t>
  </si>
  <si>
    <t>191255810</t>
  </si>
  <si>
    <t>38833158</t>
  </si>
  <si>
    <t>339081837</t>
  </si>
  <si>
    <t>39485204</t>
  </si>
  <si>
    <t>208372570</t>
  </si>
  <si>
    <t>1575163700</t>
  </si>
  <si>
    <t>10228272</t>
  </si>
  <si>
    <t>2166630715</t>
  </si>
  <si>
    <t>27036444</t>
  </si>
  <si>
    <t>3297338187</t>
  </si>
  <si>
    <t>15666651</t>
  </si>
  <si>
    <t>312364401</t>
  </si>
  <si>
    <t>2834986125</t>
  </si>
  <si>
    <t>15443569</t>
  </si>
  <si>
    <t>2942382911</t>
  </si>
  <si>
    <t>3853991</t>
  </si>
  <si>
    <t>195792807</t>
  </si>
  <si>
    <t>19468254</t>
  </si>
  <si>
    <t>424440280</t>
  </si>
  <si>
    <t>255663142</t>
  </si>
  <si>
    <t>583023355</t>
  </si>
  <si>
    <t>48575148</t>
  </si>
  <si>
    <t>292867857</t>
  </si>
  <si>
    <t>4674174732</t>
  </si>
  <si>
    <t>4245046753</t>
  </si>
  <si>
    <t>99797001</t>
  </si>
  <si>
    <t>527427368</t>
  </si>
  <si>
    <t>4357245737</t>
  </si>
  <si>
    <t>111397831</t>
  </si>
  <si>
    <t>1441478918846955521</t>
  </si>
  <si>
    <t>1187227664</t>
  </si>
  <si>
    <t>299907538</t>
  </si>
  <si>
    <t>342781161</t>
  </si>
  <si>
    <t>26272774</t>
  </si>
  <si>
    <t>40364468</t>
  </si>
  <si>
    <t>438488077</t>
  </si>
  <si>
    <t>2316131874</t>
  </si>
  <si>
    <t>142468587</t>
  </si>
  <si>
    <t>2223505314</t>
  </si>
  <si>
    <t>184751660</t>
  </si>
  <si>
    <t>1371725080275906565</t>
  </si>
  <si>
    <t>338097482</t>
  </si>
  <si>
    <t>36052366</t>
  </si>
  <si>
    <t>1100961079</t>
  </si>
  <si>
    <t>1185980620628905984</t>
  </si>
  <si>
    <t>3394108533</t>
  </si>
  <si>
    <t>213012326</t>
  </si>
  <si>
    <t>2182634120</t>
  </si>
  <si>
    <t>118802812</t>
  </si>
  <si>
    <t>408509697</t>
  </si>
  <si>
    <t>27897816</t>
  </si>
  <si>
    <t>69634735</t>
  </si>
  <si>
    <t>351247493</t>
  </si>
  <si>
    <t>1476549206508724228</t>
  </si>
  <si>
    <t>1145789231215849472</t>
  </si>
  <si>
    <t>4870127357</t>
  </si>
  <si>
    <t>25371172</t>
  </si>
  <si>
    <t>244707852</t>
  </si>
  <si>
    <t>95668137</t>
  </si>
  <si>
    <t>86962550</t>
  </si>
  <si>
    <t>3341974577</t>
  </si>
  <si>
    <t>4557142769</t>
  </si>
  <si>
    <t>1686350533051764736</t>
  </si>
  <si>
    <t>137084305</t>
  </si>
  <si>
    <t>Düsseldorf, Deutschland</t>
  </si>
  <si>
    <t>Munich, Bavaria</t>
  </si>
  <si>
    <t>Belo Horizonte, Brasil</t>
  </si>
  <si>
    <t>Stockholm, Sverige</t>
  </si>
  <si>
    <t>Estados Unidos</t>
  </si>
  <si>
    <t>Erechim, Brasil</t>
  </si>
  <si>
    <t>Brasil, São Paulo</t>
  </si>
  <si>
    <t>Lisboa</t>
  </si>
  <si>
    <t>Vitória, Espírito Santo</t>
  </si>
  <si>
    <t>Rua Iguaçu, 209 - Blumenau/SC</t>
  </si>
  <si>
    <t>Belize</t>
  </si>
  <si>
    <t>brasil</t>
  </si>
  <si>
    <t>Sumaré</t>
  </si>
  <si>
    <t>Web3</t>
  </si>
  <si>
    <t>patrocine | encomende | apoie</t>
  </si>
  <si>
    <t>Sorocaba</t>
  </si>
  <si>
    <t>Florianopolis, Brasil</t>
  </si>
  <si>
    <t>Paraguai</t>
  </si>
  <si>
    <t>Fortaleza, Brasil</t>
  </si>
  <si>
    <t>Feira de Santana, Bahia</t>
  </si>
  <si>
    <t>Portugal</t>
  </si>
  <si>
    <t>Califórnia, USA</t>
  </si>
  <si>
    <t>Natal, Brasil</t>
  </si>
  <si>
    <t>Anchorage, AK</t>
  </si>
  <si>
    <t>Ribeirão Preto - SP / Brasil</t>
  </si>
  <si>
    <t>Sao Paulo, Brazil</t>
  </si>
  <si>
    <t>São Luís, Brazil</t>
  </si>
  <si>
    <t>Genève, Suisse</t>
  </si>
  <si>
    <t>Brazil</t>
  </si>
  <si>
    <t>Paraíba, Brasil</t>
  </si>
  <si>
    <t>Sheridan, Wyoming, 82801</t>
  </si>
  <si>
    <t>Palmas, Brasil</t>
  </si>
  <si>
    <t>Rio - Brazil - SouthAmerica</t>
  </si>
  <si>
    <t>Campinas, Brasil</t>
  </si>
  <si>
    <t>pelotas</t>
  </si>
  <si>
    <t>Goiânia, Brasil</t>
  </si>
  <si>
    <t>New Delhi, India</t>
  </si>
  <si>
    <t>Araxá</t>
  </si>
  <si>
    <t>Paulínia, Brasil</t>
  </si>
  <si>
    <t>Região dos lagos</t>
  </si>
  <si>
    <t>Boa Vista</t>
  </si>
  <si>
    <t>San Bruno, CA</t>
  </si>
  <si>
    <t>República de Moçambique</t>
  </si>
  <si>
    <t>Los Angeles, CA</t>
  </si>
  <si>
    <t>C2056B0C12D579A5B172AB853480FB</t>
  </si>
  <si>
    <t>Manaus, Brasil</t>
  </si>
  <si>
    <t>Armação dos Búzios, Brasil</t>
  </si>
  <si>
    <t>Niterói - RJ , Brasil</t>
  </si>
  <si>
    <t>Jequié, Brasil</t>
  </si>
  <si>
    <t>Angola</t>
  </si>
  <si>
    <t>Munich</t>
  </si>
  <si>
    <t>Reino Unido</t>
  </si>
  <si>
    <t>França</t>
  </si>
  <si>
    <t xml:space="preserve">São Paulo, Brasil </t>
  </si>
  <si>
    <t>Manaus - AM</t>
  </si>
  <si>
    <t>Major Vieira, Brasil</t>
  </si>
  <si>
    <t>Japan</t>
  </si>
  <si>
    <t xml:space="preserve">Brasil </t>
  </si>
  <si>
    <t>Nova Iorque</t>
  </si>
  <si>
    <t>Satoshi's Whitepaper</t>
  </si>
  <si>
    <t>Tocantins</t>
  </si>
  <si>
    <t>Midelt,Morocco</t>
  </si>
  <si>
    <t>Brasil.Rio de Janeiro</t>
  </si>
  <si>
    <t>Columbus, Ohio</t>
  </si>
  <si>
    <t>Niterói, RJ, Brazil</t>
  </si>
  <si>
    <t>Siga o nosso blog 👇</t>
  </si>
  <si>
    <t>Salvador, Brasil</t>
  </si>
  <si>
    <t>Ludhiana, Gurgaon</t>
  </si>
  <si>
    <t>Gurgaon, Ludhiana</t>
  </si>
  <si>
    <t>Maputo - Mozambique</t>
  </si>
  <si>
    <t>Alphaville - São Paulo/Brasil</t>
  </si>
  <si>
    <t>El Salvador</t>
  </si>
  <si>
    <t>Mindelo Cape Verde</t>
  </si>
  <si>
    <t>Iguatu, Brasil</t>
  </si>
  <si>
    <t>Jericoacoara / Bitcoin Beach</t>
  </si>
  <si>
    <t xml:space="preserve">Rua do Rocio, 220 - 13º andar </t>
  </si>
  <si>
    <t>Brasil - Rio de Janeiro</t>
  </si>
  <si>
    <t>São José dos Campos, SP, BR</t>
  </si>
  <si>
    <t>Dourados/MS</t>
  </si>
  <si>
    <t>Floripa, SC, Brasil</t>
  </si>
  <si>
    <t>Earth</t>
  </si>
  <si>
    <t>London, KY</t>
  </si>
  <si>
    <t>Brasília, Brasil</t>
  </si>
  <si>
    <t xml:space="preserve">são paulo </t>
  </si>
  <si>
    <t>Ceará/Brasil</t>
  </si>
  <si>
    <t>Rio de Janeiro - RJ</t>
  </si>
  <si>
    <t>live:saudi Arabia,F:Bangladesh</t>
  </si>
  <si>
    <t>São José dos Campos, Brasil</t>
  </si>
  <si>
    <t>Olinda</t>
  </si>
  <si>
    <t>Marília, Brasil</t>
  </si>
  <si>
    <t>Colatina, Brasil</t>
  </si>
  <si>
    <t>Fortaleza-Ce</t>
  </si>
  <si>
    <t xml:space="preserve">Lisboa </t>
  </si>
  <si>
    <t>Singapore</t>
  </si>
  <si>
    <t>RECIFE</t>
  </si>
  <si>
    <t>Bauru, Brasil</t>
  </si>
  <si>
    <t>Cabo Frio, Brasil</t>
  </si>
  <si>
    <t>Cansanção, Brasil</t>
  </si>
  <si>
    <t>Santa Bárbara d'Oeste, SP</t>
  </si>
  <si>
    <t>Cumilla,Bangladesh</t>
  </si>
  <si>
    <t>Bangladesh</t>
  </si>
  <si>
    <t>Gurugram</t>
  </si>
  <si>
    <t>Barreiras, Brasil</t>
  </si>
  <si>
    <t>Miami Beach, FL</t>
  </si>
  <si>
    <t>Canela-RS</t>
  </si>
  <si>
    <t>Jd João XXIII, São Paulo</t>
  </si>
  <si>
    <t>São Paulo, Brazil</t>
  </si>
  <si>
    <t>Ciudad Autónoma de Buenos Aire</t>
  </si>
  <si>
    <t>Araguari - MG - Brasil</t>
  </si>
  <si>
    <t>Várzea Grande, Brasil</t>
  </si>
  <si>
    <t>Chennai, India</t>
  </si>
  <si>
    <t xml:space="preserve">São Paulo </t>
  </si>
  <si>
    <t>Nassau, Bahamas</t>
  </si>
  <si>
    <t>Garanhuns PE</t>
  </si>
  <si>
    <t>World</t>
  </si>
  <si>
    <t>Jundiai</t>
  </si>
  <si>
    <t>Águas Lindas de Goiás, Brasil</t>
  </si>
  <si>
    <t>Engenheiro de software e consultor de bem estar. Software Engineer and Wellness advocate</t>
  </si>
  <si>
    <t>Tweets didáticos sobre economia, matemática financeira, finanças pessoais e outros temas para compreender melhor o nosso mundo econômico. Prof. Ricardo Viana.</t>
  </si>
  <si>
    <t>Democratizing Hedge Fund insights! Sign up for our free AI-powered investment insights!
#Crypto
Follow @Investoom_com &amp; @investoom for regular updates!</t>
  </si>
  <si>
    <t>👨‍👩‍👧 Pai de menina | ⚽ S.F.C | 🎓ADM |
📈Holder</t>
  </si>
  <si>
    <t>Finance Advice
Join My YouTube Channel 😉</t>
  </si>
  <si>
    <t>CONTABILIDADE DIGITAL</t>
  </si>
  <si>
    <t>COMPARTE PARA QUE LA VERDAD LLEGUE A MILLONES DE PERSONAS. 👨‍💻La emancipación de los
trabajadores efectuada por ellos mismos. 
LEER yCOMPARTIR #palestinalibre</t>
  </si>
  <si>
    <t>O seu portal de notícias sobre #Bitcoin e #blockchain, sua melhor fonte de informação com as mais recentes #notícias mundiais sobre #criptomoedas.</t>
  </si>
  <si>
    <t>🗝️🆃🆁🅰🅽🆂🅵🅾🆁🅼🅸🅽🅶 🅿🅴🆁🆂🅿🅴🅲🆃🅸🆅🅴🆂 🅵🅾🆁 🆂🆄🅲🅲🅴🆂🆂.
📍🅴🅼🅿🅾🆆🅴🆁🅸🅽🅶 🅼🅴🅽/🆆🅾🅼🅴🅽. 
 📍 Virginia
          ♑</t>
  </si>
  <si>
    <t>Eu te ensino a ganhar uma renda de R$300,00 todos os dias. Venha conquistar sua liberdade financeira !!</t>
  </si>
  <si>
    <t>✨Poder trabalhar de onde estiver ✨
✨Trabalhar quantas horas quiser ✨
✨ Realizar seus sonhos ✨
✨Ser sua própria chefe 😉✨</t>
  </si>
  <si>
    <t>AGROCAPITAIS - a plataforma definitiva para o agronegócio moderno! Nosso objetivo aqui é aprimorar habilidades através do conhecimento e inovação.</t>
  </si>
  <si>
    <t>Palestrante, Consultor com + de 1.000 atendimentos, investidor na Bolsa há + de 20 anos. Mestre pela USP,  Autor de best-sellers em finanças pessoais.</t>
  </si>
  <si>
    <t>O Blog "As minhas finanças" é autoria da e-loan. Estamos empenhados no sucesso financeiro das famílias, e produzimos conteúdo educativo sobre finanças.</t>
  </si>
  <si>
    <t>💻Networker / Treinador de Líderes / Palestrante  ……….🙋‍♂️🙋‍♀️ Saiba mais 👇 🌎 ⏳ 💰</t>
  </si>
  <si>
    <t>💪 | Deus
📍 | Escola S. Partido  | Conservadora | Pró-vida
👜 | Pr @movimentoconservador_es &amp; @direitaesoficial</t>
  </si>
  <si>
    <t>Associação Brasileira de Promoção à Inclusão e Liberdade Financeira. 
A solução para sua preocupação está aqui!
👇 👇 👇 👇 
https://t.co/whYBQ6UG6B</t>
  </si>
  <si>
    <t>Conhecimento sobre como: Administrar seu dinheiro, economizar, melhorar suas escolhas, construir um Patrimônio e alcançar Independência Financeira 💰</t>
  </si>
  <si>
    <t>Rodadas leais para cripto-vitórias reais 🎰
Aproveite este código de boas-vindas 👇
FairTWpt</t>
  </si>
  <si>
    <t>53795.eth |🇧🇷btc.eth| TSC #7192 #9727 |</t>
  </si>
  <si>
    <t>Certified Professional CPA-20.  noticias sobre tecnologia, mercados, inovacao, business intelligence e bike.</t>
  </si>
  <si>
    <t>Jornalista</t>
  </si>
  <si>
    <t>Presença Digital é fácil e divertido!
🎖Crie seu Negócio digital!</t>
  </si>
  <si>
    <t>Discípulo de Jesus Cristo, Pai, Esposo, formado em economia.</t>
  </si>
  <si>
    <t>🚀 Cryptocurrency Enthusiast | Keeping You Updated on the Latest Crypto Trends and News
🌐 | Exploring the Future of Finance, One Block at a Time
⛓️ #CryptoNews</t>
  </si>
  <si>
    <t>Design | Texto | Vídeo | Legenda
▶️ @imperativomoral
⚡ stanleycalderelli@zbd.gg
🔗 https://t.co/WbXe84d9eI
⚡ stanleycalderelli@nostrprotocol.net
₿ bitcoin p2p</t>
  </si>
  <si>
    <t>❤️‍🔥| 4 digito$ por semana com meu📱
💵| Ganho💸 de qualquer lugar do 🌍
⏰| Comece HOJE meu nobre(a)!
🔗|Clique no link👇🏼</t>
  </si>
  <si>
    <t>A Libertarian that enjoys Freedom of Speech, Financial Freedom, Bitcoin, NFT and decentralisation. Global Community Manager - PT/EN</t>
  </si>
  <si>
    <t>Fundador de várias empresas na área de tecnologia e especialista em Blockchain com profundos conhecimentos técnicos desde mineração a contratos inteligentes.</t>
  </si>
  <si>
    <t>Não sou Flamengo de coração porquê ele para ,sou Flamengo de alma, porque dura para sempre .
Além disso sou conservador sou de direita,cristão</t>
  </si>
  <si>
    <t>Escritório credenciado de Agentes Autônomos de Investimentos da GUIDE Investimentos</t>
  </si>
  <si>
    <t>Venha trabalhar como streamer e receba pela cotação do dólar. Aplicativos: Fancy Me e Iwee
Liberdade Financeira #homeoffice</t>
  </si>
  <si>
    <t>🔥 Descubra como Desbloquear sua Liberdade Financeira de uma vez por todas. Clique no link da bio!</t>
  </si>
  <si>
    <t>MANUAL POLITICAMENTE INCORRETO PRA FICAR RICO ANTES DOS 30👇🏿</t>
  </si>
  <si>
    <t>Olá somos a ARBV ASSESSORIA JURÍDICA,trabalhamos com correção de contratos com juros abusivos,revisão de financiamento veículo, imóvel, empréstimo.</t>
  </si>
  <si>
    <t>Atualmente só produtos da shopee, logo logo outras lojas virtuais.
Minha coleção 👇🏾 dos melhores produtos 
https://t.co/mxR6y1sEfm</t>
  </si>
  <si>
    <t>🧠👨‍💻AI Negócios OnLine</t>
  </si>
  <si>
    <t>🎥Canal O Investidor Pequeno 💵Criador de conteúdo financeiro</t>
  </si>
  <si>
    <t>👨‍💻 | Domino as maiores Frrmts de vendas.
📈 | Motivação diária.
                          ®         🚀 | Quer me contratar? link abaixo.⬇</t>
  </si>
  <si>
    <t>🤑  Invista com pouco
🚀  Marketing Digital
🚨  Dropshipping
📅  Renda extra todos os meses</t>
  </si>
  <si>
    <t>Canal de notícias no telegram - https://t.co/y4f0Tv2kS2</t>
  </si>
  <si>
    <t>Finanças pessoais, empreendedorismo e investimentos.</t>
  </si>
  <si>
    <t>🇧🇷 Maior Ferramenta Multi Serviços para Usuários de Criptomoedas do Mundo.
Ganhe BITCOIN todos os dias.
É Simples e Seguro criar sua conta grátis.</t>
  </si>
  <si>
    <t>Dracma token
para mais informações 
visite nosso site</t>
  </si>
  <si>
    <t>Aprenda a investir em Criptomoedas (Bitcoin) para fazer dinheiro 💰  e conquiste Ganhos sólidos todos os Meses 🚀. 
Faça nosso Curso clique no link ⬇️</t>
  </si>
  <si>
    <t>📈Finanças pela FGV | Assessoria gratuita para o seu 1• Milhão, Advisor. CEA👩🏽‍💻Interface de Gestão de investimentos, Análise T&amp;F📊💰</t>
  </si>
  <si>
    <t>➡️Empreendedor Financeiro &amp; Especialista em Marketing Digital. 🤑💼💰
➡️Ajudando a alcançar a liberdade financeira. 🕊️💸
➡️Baixe seu E-Book! 📖💻📲</t>
  </si>
  <si>
    <t>Trabalhar em casa🏠 
Ganhar 💰 com 📱 
Saiba como usar seu📱 para fazer dólar 
⬇ Acesse agora! ⬇ 
https://t.co/GxWhwLyFPQ</t>
  </si>
  <si>
    <t>🎓 Aumenta a tua literacia financeira 💶 Ganha o controlo das tuas finanças 📈 Aprende a investir na bolsa 🔥 Alcança a liberdade financeira 👇🏻 Sabe +</t>
  </si>
  <si>
    <t>Te Ajudo A Ficar Rico</t>
  </si>
  <si>
    <t>💲| 𝙵𝚒𝚗𝚊𝚗ç𝚊𝚜 𝚙𝚊𝚛𝚊 𝚝𝚘𝚍𝚘𝚜
💥| 𝙳𝚘𝚖𝚒𝚗𝚎 𝚏𝚒𝚗𝚊𝚗ç𝚊𝚜 𝚎 𝚏𝚊ç𝚊 𝚋𝚘𝚊𝚜 𝚎𝚜𝚌𝚘𝚕𝚑𝚊𝚜
⬇️| 𝚅𝚒𝚜𝚒𝚝𝚎 https://t.co/pkS0sEMfzD</t>
  </si>
  <si>
    <t>Trader Saeed Rashid 
estratégista em Criptomoeda</t>
  </si>
  <si>
    <t>Planejador Financeiro Pessoal.  "O trabalho com responsabilidade é o fio condutor do sucesso"</t>
  </si>
  <si>
    <t>Dicas de hábitos alimentares saudáveis, mudança de estilo de vida!
Aproveite a promoção 👉
https://t.co/vfuULJv1EQ</t>
  </si>
  <si>
    <t>News | On-Chain | Stocks #Bitcoin #Crypto
A criptomoeda para todos.
Criador de conteúdo, threads, analises  e investidor em crypto !</t>
  </si>
  <si>
    <t>SENIOR ACCOUNT MANAGER👩‍💻  AMERICAN 🇺🇸🇧🇷🏴󠁧󠁢󠁥󠁮󠁧󠁿 9YRS TRADING EXPERIENCE📈📉
EARN OVER $500,000 WEEKLY 💰
BE MY TESTIFIER 🤝
Contact:
24/7 active...</t>
  </si>
  <si>
    <t>🏆Do zero ao avançado ! 💰Te ensino a vender na Eduzz em apenas 24hrs ! 🧠Não vai perder essa oportunidade né? ⬇️Clique no link abaixo ⬇️</t>
  </si>
  <si>
    <t>Adoro lobos</t>
  </si>
  <si>
    <t>Encontre a solução perfeita para suas necessidades financeiras. Com nosso site, você terá acesso a uma ampla variedade de opções de empréstimo.</t>
  </si>
  <si>
    <t>Provérbios 22:7
Disciplina, Planejamento e Foco</t>
  </si>
  <si>
    <t>Do maderite ao mundo 🌍🎙
Artista: @mazzolanavoz
Projeto: @anonimousongs/ @investimentodequebrada
Loja Oficial @lojamadehits
CEO: @___mazzola___
SP✈</t>
  </si>
  <si>
    <t>Founder &amp; CEO of Wealth DynamX.  I aim to help everyone I meet financially fund a life of abundance and prosperity in all areas.</t>
  </si>
  <si>
    <t>Planejador Financeiro na FWB Planejamento Financeiro. Pós-Graduado em Planejamento Financeiro e Finanças Comportamentais pela PUC-RS. Maratonista.</t>
  </si>
  <si>
    <t>Conservador de direita, Youtuber, Programador, investidor, fanatico em tecnologia, fã de dragon ball, artista marcial, futebolista amador e gamer.</t>
  </si>
  <si>
    <t>Assessor de Investimentos 🧬100% Transparente e Direto ao Ponto 💼 Sócio @invistablue3, credenciado à @xpinvestimentos</t>
  </si>
  <si>
    <t>Jornal Digital 360° - trazendo notícias e perspectivas de todos os ângulos! Fique por dentro de tudo que acontece no mundo, com análises profundas e imparciais.</t>
  </si>
  <si>
    <t>Follow my profiles and I follow u back!
https://t.co/lt9IgEpzIv
https://t.co/ZCyuMlsySX
https://t.co/v0LO0hcU9w
https://t.co/JozMbSnELl</t>
  </si>
  <si>
    <t>Instagram @rv_rafael_vieira</t>
  </si>
  <si>
    <t>📈 Educação financeira
💪Motivação financeira
🏡 Imobiliário tokenizado
 🇨🇭🇵🇹🇧🇷</t>
  </si>
  <si>
    <t>Assessoria de Investimentos na Ilha do Governador • Abra sua conta e conte com a ajuda dos nossos profissionais para alcançar sua Liberdade Financeira 🚀</t>
  </si>
  <si>
    <t>Personal trainer esp. fisiologia aplicada ao treinamento personalizado e nutrição esportiva. Sousa - pb. “Não procrastinarás.” Cyanpersonal</t>
  </si>
  <si>
    <t>Mentora para profissionais de Saúde que querem deixar um legado do seu conhecimento e expertice. 
❣️Somos todos do Mundo... à distância de um olhar!</t>
  </si>
  <si>
    <t>Hélio Couto, palestrante, escritor, terapeuta e consultor.</t>
  </si>
  <si>
    <t>Página de Investimento da Odysee.</t>
  </si>
  <si>
    <t>We are a Fintech with private investment opportunities. We exist to connect people with the most diverse financial opportunities tied to technology.</t>
  </si>
  <si>
    <t>Muito bem casado!❤️</t>
  </si>
  <si>
    <t>Perfil voltado para investimentos e negócios. Nos sigam em todas as redes sociais, sempre como @mlkada_invest. Esperamos que gostem!
https://t.co/jd7PTUus0V</t>
  </si>
  <si>
    <t>Perfil em homenagem ao Economista Ludwig Von Mises.
Conteúdos sobre Política, História, Finanças e Investimentos 💡💰
📩 Contato: misescpitalista@gmail.com</t>
  </si>
  <si>
    <t>Batista • Conservadora • Flamengo • G.A.S. • Direita Bolsonarista "O preço da liberdade é a eterna vigilância" T.J. Perdoem meus dias de fúria. O 🇧🇷 tá osso.</t>
  </si>
  <si>
    <t>Somos um blog  que foi criado para ajudar todos os brasileiros para que consigam crescer em suas vidas pessoais e profissionais!
contato@paraopovo.com.br</t>
  </si>
  <si>
    <t>Help Line Finance started at 2017 and is focused on meeting the financial needs of the micro, small and medium enterprises (MSME) in India,</t>
  </si>
  <si>
    <t>Assessor de Investimentos | Trader e Investidor Profissional | Especialista em Ações | Informação e opinião de qualidade.
RAIZ e GL!</t>
  </si>
  <si>
    <t>Te Ajudo a Faturar com a Internet
Faça Renda Extra sem Precisar sair de Casa</t>
  </si>
  <si>
    <t>Professor da Educação Básica /
Pequeno Produtor Rural /
Escritor</t>
  </si>
  <si>
    <t>Manufacturer of Non-Woven Fabric Production Plant, Non-Woven Bag Making Machine &amp; Spare Parts</t>
  </si>
  <si>
    <t>Por meio do cooperativismo queremos gerar soluções financeiras adequadas e sustentáveis pra você!</t>
  </si>
  <si>
    <t>Empreendedora/22 anos no ramo. Te ajudo a ganhar dinheiro com venda de Semijoias. Compartilho experiência em conteúdos gratuitos em meus canais digitais.</t>
  </si>
  <si>
    <t>📰 Perfil oficial do Suno Notícias, portal de jornalismo do Grupo Suno. 📢 Siga nossos canais: @SunoNoticias</t>
  </si>
  <si>
    <t>Seja Bem Vindo!!!
Vender pela internet é para você também❗
Ensino pessoas comuns a terem uma nova fonte de renda pelo celular❗                 
⤵SAIBA COMO ⤵</t>
  </si>
  <si>
    <t>#bitcoin  🇧🇷</t>
  </si>
  <si>
    <t>Permita - se ser livre financeiramente, tenha várias fontes de renda. Seja cauteloso e não impulsivo.</t>
  </si>
  <si>
    <t>Débora Rosa Treinadora Febracis
Master Trainer @febraciscoaching
Time @paulovcoach
Ajudo empresári(a)os alcançar os objetivos e metas que tanto desejam na vida</t>
  </si>
  <si>
    <t>Somos uma empresa voltada para o marketing digital. Foco em divulgar produtos que serão de utilidade</t>
  </si>
  <si>
    <t>°Educação ° Bíblia ° Leitura °Estoico</t>
  </si>
  <si>
    <t>-5 Dígitos faturados
💸-Vivo a Vida Fazendo dinheiro
💰-Jovem Empreendedor
🖋️-Futuro milionário
🇧🇷
💹-Quer aprender ?
Chama aí 🤗
92993170947</t>
  </si>
  <si>
    <t>Co-Founder at Brickto | Cryptocurrency | Technical Solutions| Technology | Game Lover | Dreamer</t>
  </si>
  <si>
    <t>Programa - Psicanálise e você
Todas às terças-feiras
às 19 horas</t>
  </si>
  <si>
    <t>꧁𓊈𒆜🅵🅾🅻🅻🅾🆆𒆜𓊉꧂
Exibindo conteúdo de qualidade baseado em obras consagradas de autores renomados, ajudando você a alcançar a riqueza e a felicidade.</t>
  </si>
  <si>
    <t>Pamm Alpari - Alpari ofrece el servicio de cuentas PAMM (Percent Allocation Management Module), que es una forma de inversión en la que los inversores pueden</t>
  </si>
  <si>
    <t>like and subscribe.</t>
  </si>
  <si>
    <t>💫Empreendedor Digital
♥️ Youtuber
💥 Coach pessoal
💯 Especialista em Marketing digital</t>
  </si>
  <si>
    <t>₿itcoin enthusiast - fix the money, fix the problems💎🙌 https://t.co/RTIYDEvPw1 Contato: ibrahimalimartins@gmail.com https://t.co/vLVNmPsBeR</t>
  </si>
  <si>
    <t>Privacy. Cryptography. Freedom. 
Buidler/Content Creator/Antinfluencer
🇧🇷🇪🇪 E-Residency Envoy 
https://t.co/boyWUcz5eF
⚡eddieoz@sats4.life</t>
  </si>
  <si>
    <t>DBFS Finvestmentor is here to help investors in their financial and investment expeditions.</t>
  </si>
  <si>
    <t>🙏🏽 𝗕𝗲𝗹𝗶𝗲𝘃𝗲 𝗶𝗻 𝘆𝗼𝘂
🇮🇹 𝗣𝗮𝗹𝗺𝗲𝗶𝗿𝗲𝗻𝘀𝗲</t>
  </si>
  <si>
    <t>Economista e Publicitário, trabalho com Marketing Digital, Política,  Eventos e Palestras sobre o Mercado Digital, E-commerce, Motivação/Empreendedorismo</t>
  </si>
  <si>
    <t>https://t.co/UCxA8KwHI6 Em Abra sua conta agora https://t.co/CP1XAdMtci #bancoatitude #verdinhomaischarmosodobrasil</t>
  </si>
  <si>
    <t>🛸 Conteúdos sobre criptomoedas, finanças descentralizadas e mineração. Aqui no Twitter, política também. #btc #ethereum #criotomoedas</t>
  </si>
  <si>
    <t>📢  Estrategista em vendas online.🔥
 📌 Representante de produtos físicos e digitais online INFORMAÇÕES :       
🌍 💻 📱💲📈  🚀
 👇🏼 Acesse Aqui ? 👇🏼</t>
  </si>
  <si>
    <t>O esforço precisa ser diário e o processo respeitado. As pessoas sempre colhem o que semeiam. Não existe atalho!</t>
  </si>
  <si>
    <t>Explorando afiliação com paixão! Compartilho produtos incríveis e ofertas para economia inteligente. Junte-se à jornada por descontos e descobertas.</t>
  </si>
  <si>
    <t>Economista📈 Mestrando em Contabilidade, Fiscalidade e Finanças💹Designer há 10 anos🖌️Consultor de Marketing e de Finanças👨‍💼💼 Amo música🎧 e o digital💻</t>
  </si>
  <si>
    <t>📈Consultor Financeiro 💵Fundador da @donnaire_consult 🎙️Host do Canal “O Lombongo” 🤝🏽Parcerias: donnaireconsult@gmail.com ou DM</t>
  </si>
  <si>
    <t>democratizing AI-powered Investment insights for everyone! Sign up for free and start investing like the big hedge funds!
Follow @Investoom_com for more updates</t>
  </si>
  <si>
    <t>Empreendedor | Investidor | Trading 💻 O Escultor da nossa realidade. Também acredite em você e foque em seus objetivos. Sinta-se à vontade para conversar 🫶</t>
  </si>
  <si>
    <t>Empreendedor, entusiasta em novas tecnologias.
Acredito que a inovação pode mudar o mundo para melhor. Let's make it happen!</t>
  </si>
  <si>
    <t>investidor esportivo e APAIXONADO por futebol, Manauara, 25 y ⚡Palmeiras 💚</t>
  </si>
  <si>
    <t>O Seu Podcast sobre Finanças, Investimentos e Empreendedorismo.</t>
  </si>
  <si>
    <t>53f87fe91976e7cdcd2c1ef01ff60da9</t>
  </si>
  <si>
    <t>Bem-vindo ao Money Markets, o seu portal financeiro global de confiança. 📈🌐
💻 info@moneymarkets.com.br</t>
  </si>
  <si>
    <t>CCO/ TRIO HUB | Crypto, AI &amp; Web3 | @dappradar LATAM Ambassador  | @NFT_NYC Speaker | @clubzzgg Content Creator | Founder at Liberdade em Cripto, IA &amp; Web3 👇🏻</t>
  </si>
  <si>
    <t>📍 Renda Extra | Vendas Sem Aparecer
📍 Top Afiliado de Sucesso
📉 Te ajudo a ganhar dinheiro 💰 trabalhando de sua casa usando apenas o seu celular 💰🚀📲</t>
  </si>
  <si>
    <t>Copywriter apaixonado por palavras e criatividade. Especialista em criar conteúdo persuasivo e eficaz pra destacar sua marca. #copywriter#marketing</t>
  </si>
  <si>
    <t>• Mamãe do Jorge Otávio 
• Empreendedora
• Marketing Digital
• Conquiste sua liberdade financeira ⬇️
https://t.co/yOmaWb5qoG</t>
  </si>
  <si>
    <t>💵💶💷
O WikiFX é uma plataforma pelos traders de Forex onde mais de 45 mil corretoras foram avaliadas. 
Visite a saber se sua corretora é confiável!</t>
  </si>
  <si>
    <t>Crypto Enthusiastic l Early Adopter l Futures Trading l NFT Collector
“I have no special talents. I am only passionately curious.”
— Albert Einstein</t>
  </si>
  <si>
    <t>Christian, Production Engineer, Space enthusiast! Somewhere, something amazing is waiting to be discovered…. 🇧🇷😎🚀</t>
  </si>
  <si>
    <t>💰 Educação Financeira
📰 Notícias e informações do mercado
🏅 Ajudo pessoas a atingirem independência Financeira sem falsas promessas de dinheiro fácil</t>
  </si>
  <si>
    <t>Partnerschaft, Liebe, Finanzielle Freiheit, Online-Arbeit, Investieren: Meine Freundin ist Millionärin. DAS Hörbuch.  https://t.co/R1GCiRsBHg</t>
  </si>
  <si>
    <t>Eu ajudo pessoas comuns, os Rebeldes Cryptos, a investir e fazer dinheiro em criptos com segurança.
Liberte-se!
Bitcoine-se já!</t>
  </si>
  <si>
    <t>𝑩𝒖𝒔𝒄𝒂𝒏𝒅𝒐 𝒄𝒐𝒏𝒉𝒆𝒄𝒊𝒎𝒆𝒏𝒕𝒐 𝒏𝒂𝒔 𝒍𝒆𝒊𝒔 𝒖𝒏𝒊𝒗𝒆𝒓𝒔𝒂𝒊𝒔
ᴀᴍᴀɴᴛᴇ ᴅᴇ ʙᴏɴs ʟɪᴠʀᴏs!
ᴇᴍᴘʀᴇᴇɴᴅᴇᴅᴏʀᴀ,
ᴘᴏʟɪᴛɪᴄᴀ: ᴏᴘɪɴɪᴀᴏ</t>
  </si>
  <si>
    <t>always caring</t>
  </si>
  <si>
    <t>O Mova-se Empreendedor é um canal com a missão de levar a empreendedores(as) informação e conhecimento, a partir da experiência de 3 publicitários.</t>
  </si>
  <si>
    <t>If you write a lie on paper, and read it every day, you will come to take it as truth .   (Bobproctor)</t>
  </si>
  <si>
    <t>Empresária</t>
  </si>
  <si>
    <t>Desbloqueamos a liberdade financeira 🌐 | Sabedoria, táticas inovadoras e comunidade #TradeDork 🚀</t>
  </si>
  <si>
    <t>Empreendedor</t>
  </si>
  <si>
    <t>💸🌟💰 #XZIBank: seu banco digital completo! Facilidade em investimentos, transações instantâneas e muito mais. Siga-nos e fique por dentro das novidades!</t>
  </si>
  <si>
    <t>🏆 Trading Emocionante com o Parceiro de Trading nº 1,
🔝 Mais de 250 ativos para investir,
💯 100% de Lucro e Saques Rápidos.
Registre-se hoje 👇</t>
  </si>
  <si>
    <t>Marketing Digital 🚀💸 | Helping people to earn money from the internet, and change their lives. Join the team!</t>
  </si>
  <si>
    <t>Ex insider do mercado financeiro, Mestre em economia aplicada pela USP e investidor do mercado desde 1999. Você já se perguntou como o sistema funciona?</t>
  </si>
  <si>
    <t>🗿🍷|A persistência realiza o impossível
ganhe dinheiro na Internet vendendo produtos Digitais.Seja afiliado mesmo
sendo menor de idade.Fique por dentro, link👇</t>
  </si>
  <si>
    <t>Divine Comedy Meets BTC! Join the ride as we HODL through the ups and downs of #Bitcoin and beyond. Daily memes for the faithful bitcoin enthusiast.</t>
  </si>
  <si>
    <t>Senador pelo Tocantins.
https://t.co/sZBdXACQIH
https://t.co/HmK3WTvjwb</t>
  </si>
  <si>
    <t>Líder Empreendedora Tupperware</t>
  </si>
  <si>
    <t>Fuvir é a Rede Social! 
💰Conexões reais entre negócios e investidores.
🎯Todas as funcionalidades das outras redes.
🚀Gratuito
🪙Web 3 e Business</t>
  </si>
  <si>
    <t>Investidor</t>
  </si>
  <si>
    <t>✤ 💸 Cortes, Frases e Dicas para você que quer aprender de verdade a fazer Marketing Digital 
✤ Permita-se 🐀
✤Entre para a Comunidade 👇</t>
  </si>
  <si>
    <t>Sou um canal de como investir com segurança e sabendo as regras do jogo.</t>
  </si>
  <si>
    <t>Um canal criado a passar sinceridade sobre o mercado de criptomoedas. Sem toda a papagaiada que muitos passam. Por isso criamos um treinamento na mesma pegada.</t>
  </si>
  <si>
    <t>My name is Aziz Basry,a online Marketer,SEO.from Morocco Country in a city called Midelt.
Iam an active person.optimistic.enjoy every moments whatever it is.</t>
  </si>
  <si>
    <t>Press,writer ambiental consultory,vegpersonal,matrimconsultory,
https://t.co/14QIUv4Pj6
https://t.co/mKK0gP3nWQ
https://t.co/Dzv5GdBX55</t>
  </si>
  <si>
    <t>CIO Women Magazine is a result of coveted efforts of an ambitious leadership. With a diversified plethora of industry magazines</t>
  </si>
  <si>
    <t>💰| Imprimo dinheiro aos 15 anos.
💻| Construo impérios pela internet.
🌟| Inspiro jovens a sairem do sistema!
💸| 5 digitos faturados
🙅🏻‍♂️|350 Alunos</t>
  </si>
  <si>
    <t>Me siga no instagram: https://t.co/LgrA3FX514</t>
  </si>
  <si>
    <t>🏴‍☠️🏴‍☠️ 🧔🏻 🏴‍☠️🏴‍☠️
Apaixonado por vendas online e negócios, compartilho dicas para o sucesso no #dropshipping, #resell, afiliação e criação de #negócios</t>
  </si>
  <si>
    <t>Ao invés de odiar a realidade, vou te mostrar como dobrá-la à sua vontade... Siga a tribo para expandir sua mente e carteira...</t>
  </si>
  <si>
    <t>Sócio do Grupo Suno 
| Investidor desde 2009 |
Quem é você no mundo do investimentos? 👇</t>
  </si>
  <si>
    <t>Psicanalista clínica - Grafóloga - Grafoterapeuta.
Experiência e abordagem integrativa, tem conduzido muitas pessoas a superarem problemas emocionais.</t>
  </si>
  <si>
    <t>marketing digital📲
comece a fazer dinheiro agora trabalhando pela internet sem aparecer!
aprenda a fazer sua primeira venda em 2dias clica no link ⬇️</t>
  </si>
  <si>
    <t>🥇 Ser + Fazer = Ter
📊 Construa sua independência com baixo investimento inicial e risco zero
🛒 Visite nossa Loja Virtual e encante-se com nossos produtos</t>
  </si>
  <si>
    <t>vivendo  meus sonhos quem busquei uma vida de liberdade financeira, sair , viajar conhecer lugares tudo fruto do meu trabalho.</t>
  </si>
  <si>
    <t>Aficionado por finanças pessoais, poupança e investimento. Tentar criar valor. Não acredita em esquemas de enriquecimento rápido!</t>
  </si>
  <si>
    <t>PMS I, 4 vezes maratonista, vegetariano, Analista programador de sistemas que acredita no futuro da humanidade! Só depende de bom exemplo.</t>
  </si>
  <si>
    <t>Aprenda como ganhar dinheiro pela internet, inspiração diária. Network no dia a dia. Link o melhor curso: https://t.co/rkkqIENlM3…</t>
  </si>
  <si>
    <t>Não deixe o medo limitar seus sonhos.</t>
  </si>
  <si>
    <t>🧠| Fabrica de Milionários(a) Compartilhando meus passos para o sucesso e inspirando outros a alcançarem seus objetivos 💪🏼 Bem Vindo⚡️ #mindset</t>
  </si>
  <si>
    <t>Ajudo você a organizar suas finanças, planejando a melhor estratégia para que seus objetivos e sonhos sejam realizados.</t>
  </si>
  <si>
    <t>Raphinha camisa 11 | Embaixador Oficial da AFUN
⤵️ Clique no link abaixo e descubra um mundo de possibilidades e diversão. Venha se divertir com a gente!! 🤑</t>
  </si>
  <si>
    <t>Quer ganhar dinheiro com a internet? Não perca tempo! entre no site : https://t.co/0b44HdBaYo , e saiba como ganhar dinheiro</t>
  </si>
  <si>
    <t>O infinito mundo #Administrativo e #organizacional.
Um Estudante de #ADM Focado no que tange o #comportamento humano nas organizações e no desempenho Funcional.</t>
  </si>
  <si>
    <t>Ajudo pessoas comuns a perderem o medo de começar a investir 📈🚀</t>
  </si>
  <si>
    <t>💰Finanças
🗞️Notícias🚨
💹Investimento
💲Empreendedorismo
🪙Criptomoedas 
Tudo a respeito do mundo do Negócios🤑</t>
  </si>
  <si>
    <t>Equities | Mutual Funds | Startups | Insurance | Investment Services | For service details, mail us on: info@pawealth.in</t>
  </si>
  <si>
    <t>Director | PA Wealth Pvt Ltd | CA | Fund Manager | Equity Research Enthusiast | Investment &amp; Wealth Services | For details, mail us at: info@pawealth.in</t>
  </si>
  <si>
    <t>👨🏽‍💻 | faturo de qualquer lugar com meu 📲 🧍🏽‍♂️ | mudando de vida aos 17y 💰 | te ensino do zero absoluto 🚀 | comece aqui 👇🏽</t>
  </si>
  <si>
    <t>Graduada em Gestão de Recursos Humanos-pós-graduada em Gestão do Trabalho Pedagógico-Gestão Cultural</t>
  </si>
  <si>
    <t>aqui deixo explícito minhas alterações de humor - que não são poucas 🙃</t>
  </si>
  <si>
    <t>Contador, Consultor e Professor - Falo sobre finanças e gestão empresarial
https://t.co/RybOcmM84M</t>
  </si>
  <si>
    <t>Somos Hustlers Motivationmz
NOSSA MISSÃO É INSPIRÁ-LO A IR ALÉM DE SUAS LIMITAÇÕES PARA TRILHAR UMA VIDA INCRÍVEL, CHEIA DE SUCESSO, REALIZAÇÕES  E PROSPERIDAD</t>
  </si>
  <si>
    <t>Mercado Financeiro</t>
  </si>
  <si>
    <t>Empreendedor Digital. Transformando vidas e realizando sonhos através do empreendedorismo digital. Acompanhe minha jornada rumo ao sucesso #fórmulaNegócioOnline</t>
  </si>
  <si>
    <t>Assessora de Investimento Private na GWM Investments - Credenciada do BTG Pactual. 
Código: 1042569</t>
  </si>
  <si>
    <t>Portfel | GRUPO PRIMO 🍎
Planejamento financeiro, um plano para a Vida.</t>
  </si>
  <si>
    <t>Mãe|Empreendedora &amp; Marketeira                                           Te ajudo a ter uma liberdade financeira com o digital                 Me chama aqui 🫠</t>
  </si>
  <si>
    <t>Bitfinex é a plataforma de ativos digitais líder no mercado. 🍃</t>
  </si>
  <si>
    <t>Free, impartial #Bitcoin education in El Salvador 
Educación de Bitcoin gratuita en #ElSalvador
#npub17cyatz6z2dzcw6xehtcm9z45m76lde5smxdmyasvs00r4pqv863qrs4ml3</t>
  </si>
  <si>
    <t>Bitfinex is the world's leading digital asset trading platform. Telegram: https://t.co/8ttseB5N6M</t>
  </si>
  <si>
    <t>Food Drinks and Football Manager Master. Looking for a new project in Cape Verde 🇨🇻</t>
  </si>
  <si>
    <t>Trazemos notícias, insights e tendências das criptomoedas, enquanto exploramos o futuro digital com foco na Web3. 🚀 🇵🇹 🇧🇷</t>
  </si>
  <si>
    <t>uma vez até morrer!</t>
  </si>
  <si>
    <t>Que tal investir sem ter tempo?
TRENDSET: Estratégia #Passiva de #Investimentos
https://t.co/l0d0t7n9hQ
Podcast: https://t.co/xF4WaKZ819</t>
  </si>
  <si>
    <t>Ensino você a conquistar a liberdade financeira                 /📊 Economista / Conteúdo exclusivo ⤵️</t>
  </si>
  <si>
    <t>⚜️Aprende a libertar a tua mente.</t>
  </si>
  <si>
    <t>Divulgando produtos e facilitando a sua procura 🍇 Outras redes na Bio</t>
  </si>
  <si>
    <t>Aqui você encontra um pouco de tudo: desde reflexões sobre a vida até traduções de perfis interessantes. Somos o Expresso &amp; Liberdade</t>
  </si>
  <si>
    <t>Missão: Partilhar conhecimento que permita melhorar o bem-estar financeiro dos meus leitores. Finanças Pessoais em português.</t>
  </si>
  <si>
    <t>NeoBank , Economia , banco, investimentos, Private Banking.</t>
  </si>
  <si>
    <t>🎯 Te ajudo a fazer transição de carreira de forma descomplicada.
👉 Falo sobre Gestão, Carreira e Empreendedo
🚀Gestora de RH, Palestrante e Mentora</t>
  </si>
  <si>
    <t>Democratizamos o acesso a investimentos no mercado mais seguro e rentável: o imobiliário. Tudo para você conquistar sua liberdade financeira.</t>
  </si>
  <si>
    <t>Capacitando profissionais a alcançar uma carreira de sucesso no exterior. Empowering professionals to achieve a successful international career.</t>
  </si>
  <si>
    <t>🧠| De olho no celular, transformei tempo em dinheiro💰📲     🚀| 4 dígitos por semana com meu📱   🗿| comece a fazer dinheiro hoje mesmo!  👇🏽|CLIQUE AQUI👇🏽</t>
  </si>
  <si>
    <t>💡 Desvendando os Segredos do Sucesso Online! 📈🚀
Marketing digital do 🚀
🚀🎯 Domine o Marketing Digital: Atraia, Converta e Conquiste! 💡
@hailsonsouzamkt</t>
  </si>
  <si>
    <t>Investor - Founder and Head of DE TRADER PARA TRADER - Independence and Financial Freedom - A World Without Borders. #bitcoin</t>
  </si>
  <si>
    <t>Vença em #bolsadevalores (Brasil ou EUA) e conquiste #prosperidadefinanceira!  Por Ricardo Vasconcellos, certificado CME Institute, Chicago, EUA.</t>
  </si>
  <si>
    <t>💎Mentor/Empreendedor💎
💵Alcance a liberdade financeira e geográfica de maneira segura só com o📱
Chama no Direct que mostro o caminho das pedras💰🤩</t>
  </si>
  <si>
    <t>Conhecimentos Valiosos e Práticos!</t>
  </si>
  <si>
    <t>Since 1997 in Network Marketing and wellness.
Desde 1997 em Marketing de rede e Bem estar.</t>
  </si>
  <si>
    <t>Educação Financeira de forma descomplicada e ao alcance de todos!
Ações, FII, Altcoins, NFT.
Trading, Price Action.</t>
  </si>
  <si>
    <t>Um casal e seu dog vivendo aventuras pelo caminho na sua Kombi Bernardete.  Is 48.17b
ZINGA/FLORIPA/SC/BR
Parcerias: Chamar no direct</t>
  </si>
  <si>
    <t>Mente de Sucesso Reflexôes Milionárias</t>
  </si>
  <si>
    <t>Irineu Berezanski atua como Planejador Financeiro Pessoal, faz parte do time de consultores especialistas do Sebrae e professor de agronegócios do Senar.</t>
  </si>
  <si>
    <t>Quer conversar sobre #investimentos? Do início ao avançado 👉 https://t.co/baTRTtnSFN</t>
  </si>
  <si>
    <t>5+ anos investindo em Ações. 🤩 Dados e Estratégias. 20 anos de TI no 🇧🇷B3 🇬🇧HedgeFund 🇪🇺Bco.Invest. 🇺🇸Refinitiv. Opiniões pessoais, não recomendações!</t>
  </si>
  <si>
    <t>Linear Pay to pay bills and invest in dreams.</t>
  </si>
  <si>
    <t>Este é o perfil do escritório Francel Menezes contabilidade no Twitter, uma empresa de assessoria tributária e contabil focada em empreendedores digitais.</t>
  </si>
  <si>
    <t>💸I don't talk about day trading, I talk about freedom
🚀5 years reading flow and contradicting statistics.
👇learn everything here</t>
  </si>
  <si>
    <t>Dicas práticas de organização financeira para alcançar seus objetivos e viver bem.</t>
  </si>
  <si>
    <t>👩🏻‍🏫TE ENTREGO UM MINI CURSO GRATUITO
⚡Te ensino a ganhar dinheiro do conforto da sua casa
💰 Conquiste sua liberdade financeira 
👇🏼 Te ensino Aqui👇🏼</t>
  </si>
  <si>
    <t>Fundador Pense Rico - Analista de Sistema, de Dados, Especializações em Tecnologia Web3, Bitcoin, Investimentos 👇🏽 https://t.co/IQZIX7BLIe</t>
  </si>
  <si>
    <t>Decidi assumir as rédeas e virar patroa da minha vida através da Internet. Te ensino a ganhar dinheiro com o seu celular. Vamos?</t>
  </si>
  <si>
    <t>Sou só mais um na multidão...</t>
  </si>
  <si>
    <t>O conhecimento pode te levar a lugares que você nunca imaginou, (Outhiler)
🛡️ Suporte o processo, e viverá o propósito. ⤵️</t>
  </si>
  <si>
    <t>segue no Instagram 
abel_da_silva12</t>
  </si>
  <si>
    <t>Destruindo ilusões
Motivação &amp; Séries &amp; Filmes</t>
  </si>
  <si>
    <t>"Ganhe Mais, Risco Menos - Invista com Confiança!"</t>
  </si>
  <si>
    <t>.</t>
  </si>
  <si>
    <t>Descubra Como Empreender Online, trabalhe de Casa e Ganhe Dinheiro na Internet iniciando um Negócio Digital com as melhores estratégias de marketing digital</t>
  </si>
  <si>
    <t>I'm a Digital Marketing  Expert,
Fb &amp; Google Ads,SSM &amp; video  Seo,Social Media Marketing.I have already completed many projects(400+)Worldwide since 2017</t>
  </si>
  <si>
    <t>Canal INVEST!</t>
  </si>
  <si>
    <t>Criado em 2023 o Perfil MT Rotciv tem como principal objetivo levar conhecimento sobre Educação Financeira para todos, com conteúdos simples e explicativos.</t>
  </si>
  <si>
    <t>Entusiasta de tecnologia, amante de café e viciado em aprender coisas novas. 🚀☕️📚
Me marque e eu vou responder como um Ancap defensor do Bitcoin!</t>
  </si>
  <si>
    <t>Dois amigos, dois médicos, investindo em renda variável em busca da liberdade financeira!</t>
  </si>
  <si>
    <t>💰 Aprenda a faturar na Internet compartilhando links 💸 assim como pessoas comuns estão transformando a suas vida com ganhos comprovados e garantidos 💸</t>
  </si>
  <si>
    <t>Games 🎮 
Animes ⛩️
Coding 👨‍💻
Cricket 🏏
Books 📚</t>
  </si>
  <si>
    <t>Alinhando seus Investimentos aos seus Objetivos e Metas de Vida</t>
  </si>
  <si>
    <t>Melhor Robô para seu Investimento em Criptomoedas</t>
  </si>
  <si>
    <t>Negociador de Ações + Opções e Indice
Instagram: @clubedobraga</t>
  </si>
  <si>
    <t>⚙️Engenheiro de Software  🎨Proprietário @diegoskdatattooesupply 🏢Sócio @tigrezace 🎼 Músico compositor e produtor musical.</t>
  </si>
  <si>
    <t>Te ensino a trabalhar com grandes marcas no conforto da sua casa. Venha fazer parte da comunidade Be Your Boss 🔥</t>
  </si>
  <si>
    <t>Esqueça Planilhas!
Domine suas finanças e descubra os melhores investimentos de 2023.
Alcance seus objetivos com o GUARDAR DINHEIRO PRO.
Confira aqui👇🏻</t>
  </si>
  <si>
    <t>E aí, tudo em ordem?
Aqui você vai encontrar dicas e inspiração para crescer na vida financeira e profissional. Siga-me e transforme sua vida!
💡💼🚀💰</t>
  </si>
  <si>
    <t>Olá, seja bem-vindo a nossa comunidade tamoney! Vamos falar sobre ganhar dinheiro e empreendedorismo na prática?
https://t.co/aGLJdjRwKI</t>
  </si>
  <si>
    <t>Futurizando é uma conta de previsões. Utilizo o oráculo para fazer previsões sobre celebridades e sobre o mundo.</t>
  </si>
  <si>
    <t>Trabalhe com ChatGPT em sua casa e ganhe dinheiro saindo na frente nesse mercado Bilionário.</t>
  </si>
  <si>
    <t>Aprenda a ganhar dinheiro com o seu 📱⤵️</t>
  </si>
  <si>
    <t>Acompanhe nosso conteúdo, estamos sempre postando itens irados do nosso catálogo. 📲 11 97321-3048</t>
  </si>
  <si>
    <t>💸 Te ensino a investir seu dinheiro
💰 buy and hold
🎓+3000 alunos que desvendaram com sucesso os segredos das finanças.</t>
  </si>
  <si>
    <t>🔥Você já imaginou ter a liberdade de trabalhar de onde quiser e ganhar dinheiro fazendo o que ama? Com o meu eBook, isso se torna possível!📲👇🏻</t>
  </si>
  <si>
    <t>46 Anos de foco em vendas 🚀
26 anos Empreendendo na 
Construção Civil / Drywall -Corporativo 🏙️
Comecei do absoluto Zero
Mentoria Drywall Masterclass</t>
  </si>
  <si>
    <t>O Clube de Ricos é um clube de educação financeira que recompensa seus associados por ajudar outros a conquistarem sua liberdade financeira.</t>
  </si>
  <si>
    <t>Falo de finanças e motivação para ajudar você a alcançar a liberdade financeira
#GanharDinheiroOnline #RendaExtra
#TrabalhoEmCasa #EmpreendedorismoDigital</t>
  </si>
  <si>
    <t>Você está diante de uma Grande Oportunidade!
💲Aprenda a Lucrar em sua Casa!
Aprenda a Construir o seu Negócio e Transforme a sua vida!</t>
  </si>
  <si>
    <t>Desejar é o primeiro passo para a conquista de nossos sonhos 🏡🏠</t>
  </si>
  <si>
    <t>Olá amigo! 
Sou Entusiasta em #literaciafinanceira e #AI partilhando histórias pra ganhar tempo e produtividade🤝
🧠 Junta-te à jornada da liberdade com IA 💵</t>
  </si>
  <si>
    <t>Investidor e entusiasta do mercado financeiro.
Fascinado pelo potencial da tecnologia blockchain que revolucionará a internet e a economia global. 🚀</t>
  </si>
  <si>
    <t>Desafiei me a tornar me milionária até 2030, começando praticamente do zero #investimento #finanças #riqueza #bolsa #liberdadefinanceira</t>
  </si>
  <si>
    <t>Um professor apaixonado por #btc</t>
  </si>
  <si>
    <t>The blockchain you can bank on. 🚪 → https://t.co/TAMIlgLiCT</t>
  </si>
  <si>
    <t>🚀Produtor Digital 🧠 Expert em Infoprodutos e Marketing Digital 🌎 CEO ipedss | Levei minha empresa a mais de 40 países</t>
  </si>
  <si>
    <t>Aqui você aprende a investir com segurança para viver sua Vida Rica. Investidor desde 2012💰</t>
  </si>
  <si>
    <t>Finanças pessoais e investimentos</t>
  </si>
  <si>
    <t>Dracma token
Token da rede BEP20
Buscando se tornar a top 1 das criptos</t>
  </si>
  <si>
    <t>Canal no Youtube sobre Bitcoin e criptomoedas
Ajude nosso canal com matic para conseguir se manter
0xbFB2b2a621EF30fe4F129Fc876886A0223e9858C</t>
  </si>
  <si>
    <t>#Bitcoin &amp; Criptomoedas // Fala Família!</t>
  </si>
  <si>
    <t>#bitcoin
🇧🇷🇧🇷🇧🇷💢</t>
  </si>
  <si>
    <t>🔸Our slogan is “your satisfaction is our pleasure🔸
Hello dear, as a full freelance design agency located in Bangladesh, but We serve clients all over the word</t>
  </si>
  <si>
    <t>A Logo &amp; Branding Designer , For freelance work please contact : logovect@gmail.com</t>
  </si>
  <si>
    <t>🔞 Factos acima de Sentimentos.
🚸 A verdade dói mas constrói.</t>
  </si>
  <si>
    <t>Eu me chamo Aryanne, sou Representante de comércio. E te ensino como ganhar dinheiro com a internet sem precisar fazer muito esforço!</t>
  </si>
  <si>
    <t>Como Ganhar Dinheiro Na Internet  👉 https://t.co/tmENzg9uQA</t>
  </si>
  <si>
    <t>🚨Quer aprender a fazer dinheiro na bolsa de valores? Quer conquistar sua liberdade financeira, não depender de trabalho, de outras pessoas? Acesse o link 👇🏻</t>
  </si>
  <si>
    <t>Financeiro | PQO Operacional | Análista Fudamentalista &amp; Valuation | Investimentos | Analista de Derivativos de Ações | Finanças</t>
  </si>
  <si>
    <t>Real Estate Project Management Consultancy!</t>
  </si>
  <si>
    <t>A KuCoin Exchange é uma exchange segura e eficiente de criptomoedas. Nossa filosofia é de encontrar os melhores projetos disponíveis na cripto indústria.</t>
  </si>
  <si>
    <t>Blessed ♎️Insta: Karoliny.fs mamãe da Luna &amp; Noah⚓️❤️ @SCCP⚫️⚪️</t>
  </si>
  <si>
    <t>Notícias, entretenimento e atualidades</t>
  </si>
  <si>
    <t>💎Consultor de Negócios
💎Gestor Administrativo
💎Professor Universitário</t>
  </si>
  <si>
    <t>Venture Capitalist at Miami Beach TimeChain. 🇦🇨🇧🇷 Economics. Finance. NYSE, B3 #fintwit Writing to help you. #Bitcoin ∞/21 Million</t>
  </si>
  <si>
    <t>Marco Antônio • Renda Passiva</t>
  </si>
  <si>
    <t>Confie no processo 💸</t>
  </si>
  <si>
    <t>Canal de YouTube 📹
✉️ descomplicaft@gmail.com</t>
  </si>
  <si>
    <t>Aprenda a Investir em Renda fixa e Variável e formas de renda extra.</t>
  </si>
  <si>
    <t>Motivação e Empreendedorismo - Diversas opções de Franquias e Negócios para você investir #empreendedorismo #empreendedor #franquias #empreender</t>
  </si>
  <si>
    <t>Empreendedor Serial</t>
  </si>
  <si>
    <t>Músico, produtor musical, empreendedor digital e professor.</t>
  </si>
  <si>
    <t>💸 | Faço dinheiro até com o celular
🧑‍💻 | Ganho dinheiro de qualquer lugar do 🌎
🍷| CLIQUE AQUI 👇
https://t.co/WMQBFZlXGo</t>
  </si>
  <si>
    <t>A HOPE é uma plataforma de conexão, onde através da tecnologia você pode ter uma experiência real e genuína. Baixe agora o nosso Aplicativo na Play Store.</t>
  </si>
  <si>
    <t>Tudo que eu quero, eu consigo!💪🏽🙏🏾</t>
  </si>
  <si>
    <t>📚| Promovendo conhecimento em FII’s 💰| Renda passiva 💸| Seu dinheiro trabalhando para você 🌎| Liberdade financeira 📈| Hábito de investir</t>
  </si>
  <si>
    <t>SEMANA DA RENDA AUTOMÁTICA 👇</t>
  </si>
  <si>
    <t>Uma empresa que acredita na força da gestão de pessoas, empreendedorismo, cultura e valores sólidos. Não geramos apenas produtos, geramos soluções.</t>
  </si>
  <si>
    <t>Qual a relação correta entre Fé e Trabalho?</t>
  </si>
  <si>
    <t>Você tem o sonho ✨, nós temos o conhecimento💡 para transformá-lo em realidade.
Venha aprender os SEGREDOS do SUCESSO!
Visite nosso site
https://t.co/c6QGORXc0J</t>
  </si>
  <si>
    <t>Dicas para lidar melhor com o seu dinheiro. Investimentos em ações, fundos, poupança? Títulos, análises e notícias setoriais? As melhores informações para você.</t>
  </si>
  <si>
    <t>💰| TRADING TRAVEL TRANSFORM 🤝| Ajudo-te a criar um negócio online sólido a partir do teu 📲 📩| Comece aqui👇🏾 https://t.co/reJ8GQqsOY</t>
  </si>
  <si>
    <t>Member of @Crypto_Bull_Soc Nostr: npub1kjxt5p97dc44zuhm6l0cpyl860737cjy3fsqenf9gr45aagmqursceu30t</t>
  </si>
  <si>
    <t>Nunca dê voz aos imbecis, eles destruirão uma nação inteira!</t>
  </si>
  <si>
    <t>Consultoria focada em acelerar o seu entendimento de #bitcoin 
DMs abertas! Mande sua dúvida
Ou entre em contato: https://t.co/WkCFrvKI1k</t>
  </si>
  <si>
    <t>🇦🇷 Consultor Financiero independiente. Autor del Manual de Economía Personal. Conferencista. Desarrollo de Negocios. Networker.</t>
  </si>
  <si>
    <t>um diario</t>
  </si>
  <si>
    <t>Ei, chega junto! Somos o consórcio feito com uma nova cabeça.</t>
  </si>
  <si>
    <t>OS MELHORES ACHADINHOS DA INTERNET 🤩🤩🤩
Cupons pra você 🛍</t>
  </si>
  <si>
    <t>Tudo é possível ao que crê!
Instagram: https://t.co/nAEyQN5xB7
Facebook: https://t.co/9zW6cl8aiT
YouTube: https://t.co/LwFsiAEKvB</t>
  </si>
  <si>
    <t>Exploro conteúdo sobre finanças, investimento, motivação e liderança. 
#duduhrosa13 #finanças #investimentos</t>
  </si>
  <si>
    <t>Um cara em busca da felicidade, que so tem encontrado pedras pelos caminhos.</t>
  </si>
  <si>
    <t>Conteúdo sobre investimentos no Brasil e exterior</t>
  </si>
  <si>
    <t>vendo conteúdos/ olha minha bio 🙈</t>
  </si>
  <si>
    <t>Somos o seu banco para investimentos nos EUA. 🇺🇲
🤝🏼 Parceiros da DTVM Master S/A.
💵 Operamos conforme termos da CVM e do RMCCI.
➡️📱 Baixe o nosso App!</t>
  </si>
  <si>
    <t>#SDVDIREITA "O brasileiro é antes de tudo um forte" Postagens de notícias do espectro ideológico de direita. Sejão bem-vindos.</t>
  </si>
  <si>
    <t>CEO da @nousifinance. Antes VP do JPMorgan na Suíça. Workshop Carteira de Dividendos em Crypto 4/10 👇</t>
  </si>
  <si>
    <t>Bem-vindo à nossa loja virtual de e-books! Navegue pelo nosso catálogo e descubra novas histórias, conhecimentos e aventuras.</t>
  </si>
  <si>
    <t>🚨|empreendedora digital
💵|ensino jovens a ganhar dinheiro
💰|marketing digital</t>
  </si>
  <si>
    <t>✨| Não perca tempo. Comece a construir seu futuro agora!
💸| Saia da zona de conforto, faça a diferença!
🔥💰| Fuja do Sistema, vem pro time!</t>
  </si>
  <si>
    <t>Há 22 anos ensinando pessoas a sair das dívidas, controlar bem e investir seu dinheiro.</t>
  </si>
  <si>
    <t>👨‍💼💻📈 Empreendedor online, apaixonado por negócios e aprendendo a conquistar a liberdade financeira.Compartilho dicas e estratégias #negóciosonline 💻💰</t>
  </si>
  <si>
    <t>Somos o Blurbi, um portal de notícias comprometido em fornecer informações precisas e confiáveis.</t>
  </si>
  <si>
    <t>* Limpeza e blindagem de CPF/CNPJ 
* Aumento de Score 
📲 Atendemos em todo Brasil 
⬇️ Clique no link ⤵️</t>
  </si>
  <si>
    <t>Uma visão singular sobre os principais fatos macroeconômicos e do mercado financeiro.
Siga-nos também no Instagram: @ henleconsultoria</t>
  </si>
  <si>
    <t>Cuidado, ao acompanhar este conteúdo você corre um sério risco de prosperar rapidamente!
takes do @felipeferini</t>
  </si>
  <si>
    <t>Marketing digital</t>
  </si>
  <si>
    <t>CIO na Guardian Trust Capital, gerimos recursos globalmente através dos pilares de continuidade patrimonial e otimização de estratégias para seus objetivos.</t>
  </si>
  <si>
    <t>💵Empreendedorismo
busque a sua melhor versão 🍷🗿</t>
  </si>
  <si>
    <t>amazon.com.br/dp/B07PN1MF14</t>
  </si>
  <si>
    <t>investoom.com</t>
  </si>
  <si>
    <t>youtube.com/@financeinfohi…</t>
  </si>
  <si>
    <t>agcontador.com</t>
  </si>
  <si>
    <t>webitcoin.com.br</t>
  </si>
  <si>
    <t>sun.eduzz.com/723654?a=10771…</t>
  </si>
  <si>
    <t>linktr.ee/agrocapitais</t>
  </si>
  <si>
    <t>academiadodinheiro.com.br</t>
  </si>
  <si>
    <t>e-loan.pt/poupe-ja/</t>
  </si>
  <si>
    <t>instabio.cc/fabiosantana</t>
  </si>
  <si>
    <t>movimentoconservador.com</t>
  </si>
  <si>
    <t>linktr.ee/apilfi</t>
  </si>
  <si>
    <t>lnk.bio/educandopessoas</t>
  </si>
  <si>
    <t>fairspin.cc/space-race-Gle…</t>
  </si>
  <si>
    <t>sucesso.hmr1973.com</t>
  </si>
  <si>
    <t>bolsainteligente.com.br</t>
  </si>
  <si>
    <t>khanh.com.br</t>
  </si>
  <si>
    <t>silvanarosa.digital</t>
  </si>
  <si>
    <t>lojauchoa.com.br</t>
  </si>
  <si>
    <t>clodron.com</t>
  </si>
  <si>
    <t>youtube.com/c/ImperativoMo…</t>
  </si>
  <si>
    <t>linkr.bio/iniciar--agora…</t>
  </si>
  <si>
    <t>smartpay.com.vc</t>
  </si>
  <si>
    <t>linktr.ee/claudio_toledo</t>
  </si>
  <si>
    <t>wa.me/message/O4NMUI…</t>
  </si>
  <si>
    <t>williamhunt.com.br/segredos-dos-i…</t>
  </si>
  <si>
    <t>…bv-assessoria-juridica-2.webnode.page</t>
  </si>
  <si>
    <t>hotm.art/ttsidneysantos…</t>
  </si>
  <si>
    <t>youtube.com/channel/UCQszq…</t>
  </si>
  <si>
    <t>erikgestor.com</t>
  </si>
  <si>
    <t>borafalardeguito.com</t>
  </si>
  <si>
    <t>bit.ly/wewe-global</t>
  </si>
  <si>
    <t>glaubervicentina10.wixsite.com/dracmatoken</t>
  </si>
  <si>
    <t>bit.ly/criptoblinders…</t>
  </si>
  <si>
    <t>linktr.ee/PaulaRodrigues…</t>
  </si>
  <si>
    <t>instagram.com/andrenegociosb…</t>
  </si>
  <si>
    <t>linkin.bio/academiafinanc…</t>
  </si>
  <si>
    <t>instagram.com/minteredu</t>
  </si>
  <si>
    <t>linktr.ee/tradersaedrash…</t>
  </si>
  <si>
    <t>instagram.com/pulsofinanceir…</t>
  </si>
  <si>
    <t>pay.kiwify.com.br/00ZlCGH</t>
  </si>
  <si>
    <t>t.me/Arielyaari44402</t>
  </si>
  <si>
    <t>bit.ly/sua-1-primeira…</t>
  </si>
  <si>
    <t>credbommfinanceira.com.br</t>
  </si>
  <si>
    <t>instagram.com/jonasrocha.real</t>
  </si>
  <si>
    <t>linktr.ee/studiomadehits</t>
  </si>
  <si>
    <t>SacredAccount.com</t>
  </si>
  <si>
    <t>linktr.ee/wiskton</t>
  </si>
  <si>
    <t>linktr.ee/fernandokobuti</t>
  </si>
  <si>
    <t>jornaldigital360.com.br</t>
  </si>
  <si>
    <t>realt.co/ref/investimen…</t>
  </si>
  <si>
    <t>instagram.com/cyanpersonal</t>
  </si>
  <si>
    <t>linktr.ee/helio.couto</t>
  </si>
  <si>
    <t>odysee.com/@contab_invest…</t>
  </si>
  <si>
    <t>lux.capital</t>
  </si>
  <si>
    <t>instagram.com/misescpitalist…</t>
  </si>
  <si>
    <t>instagram.com/pravdacore</t>
  </si>
  <si>
    <t>paraopovo.com.br</t>
  </si>
  <si>
    <t>prospergroup.co.in</t>
  </si>
  <si>
    <t>sicoobcrediara.rds.land/seguros-gerais</t>
  </si>
  <si>
    <t>linktr.ee/suno.noticias</t>
  </si>
  <si>
    <t>api.whatsapp.com/send?phone=551…</t>
  </si>
  <si>
    <t>linktr.ee/PapodeMilhao022</t>
  </si>
  <si>
    <t>instagram.com/achadosdomarke…</t>
  </si>
  <si>
    <t>brickto.io</t>
  </si>
  <si>
    <t>youtube.com/playlist?list=…</t>
  </si>
  <si>
    <t>ziontradeplatform.com/alparilk</t>
  </si>
  <si>
    <t>juliomauricio.com</t>
  </si>
  <si>
    <t>Instagram.com/ibrahim_ali</t>
  </si>
  <si>
    <t>linktr.ee/eddieoz</t>
  </si>
  <si>
    <t>rioinvestcriptoeco.wixsite.com/my-site?fbclid…</t>
  </si>
  <si>
    <t>bancoatitude.com.br</t>
  </si>
  <si>
    <t>linktr.ee/barcecripto</t>
  </si>
  <si>
    <t>linktr.ee/JulianaOliveir…</t>
  </si>
  <si>
    <t>linktr.ee/adcamenhe</t>
  </si>
  <si>
    <t>bit.ly/3eBAUaC</t>
  </si>
  <si>
    <t>girofinanceiro.com.br</t>
  </si>
  <si>
    <t>moneymarkets.com.br</t>
  </si>
  <si>
    <t>lucianomathias.substack.com</t>
  </si>
  <si>
    <t>sun.eduzz.com/1562071?a=5649…</t>
  </si>
  <si>
    <t>wa.me/5512996065106</t>
  </si>
  <si>
    <t>wikifx.com/pt/?source=pjo7</t>
  </si>
  <si>
    <t>opensea.io/Davidejesus</t>
  </si>
  <si>
    <t>instagram.com/dom.investor/</t>
  </si>
  <si>
    <t>bit.ly/3lGrUEY</t>
  </si>
  <si>
    <t>hotmart.com/pt-br/marketpl…</t>
  </si>
  <si>
    <t>Instagram.com/7t_alex</t>
  </si>
  <si>
    <t>bit.ly/3SEidTO</t>
  </si>
  <si>
    <t>linktr.ee/moisesliins</t>
  </si>
  <si>
    <t>bit.ly/3llnkzs1vendae…</t>
  </si>
  <si>
    <t>facebook.com/carloseduardo.…</t>
  </si>
  <si>
    <t>modelodevida.com</t>
  </si>
  <si>
    <t>fuvir.com</t>
  </si>
  <si>
    <t>instagram.com/henriquecaldei…</t>
  </si>
  <si>
    <t>bit.ly/forum-black-ra…</t>
  </si>
  <si>
    <t>moneyraio.com.br/verdade/</t>
  </si>
  <si>
    <t>hungryforhits.com/downpost3.php?…</t>
  </si>
  <si>
    <t>bit.ly/3Z1kH01</t>
  </si>
  <si>
    <t>linktr.ee/ojovemdesucess…</t>
  </si>
  <si>
    <t>lp.suno.com.br/cl/quiz-invest…</t>
  </si>
  <si>
    <t>clinicawashingtonamancio.com</t>
  </si>
  <si>
    <t>bit.ly/vendaem2dias01</t>
  </si>
  <si>
    <t>linktr.ee/leoprioficial</t>
  </si>
  <si>
    <t>linktr.ee/caminhodoinves…</t>
  </si>
  <si>
    <t>igorvieiraconsultor.com.br</t>
  </si>
  <si>
    <t>bit.ly/AFUNofficial</t>
  </si>
  <si>
    <t>espectrodenegocios.blogspot.com/?m=1</t>
  </si>
  <si>
    <t>pawealth.in</t>
  </si>
  <si>
    <t>blog.pawealth.in</t>
  </si>
  <si>
    <t>linktr.ee/pedromar1noo</t>
  </si>
  <si>
    <t>joanarodrigues.com.br</t>
  </si>
  <si>
    <t>instagram.com/juliocrf</t>
  </si>
  <si>
    <t>hotm.art/ngdgpv</t>
  </si>
  <si>
    <t>linktr.ee/anapregis</t>
  </si>
  <si>
    <t>whatsapp.com/dl/</t>
  </si>
  <si>
    <t>bitfinex.com</t>
  </si>
  <si>
    <t>myfirstbitcoin.io</t>
  </si>
  <si>
    <t>bitfinex.com/trading</t>
  </si>
  <si>
    <t>atletico.com.br</t>
  </si>
  <si>
    <t>trendsetconsulting.com/pt</t>
  </si>
  <si>
    <t>linktr.ee/carlosteles_</t>
  </si>
  <si>
    <t>instabio.cc/maybrand</t>
  </si>
  <si>
    <t>investidorfrugal.com</t>
  </si>
  <si>
    <t>atlanticbankglobal.com</t>
  </si>
  <si>
    <t>neoin.com.br</t>
  </si>
  <si>
    <t>evovee.io/guia</t>
  </si>
  <si>
    <t>linkr.bio/iniciar_</t>
  </si>
  <si>
    <t>linktr.ee/detraderpratra…</t>
  </si>
  <si>
    <t>youtube.com/@ataorienta</t>
  </si>
  <si>
    <t>go.hotmart.com/F83317712D</t>
  </si>
  <si>
    <t>nunoandrade.biz/marketing</t>
  </si>
  <si>
    <t>youtube.com/@vivendopeloca…</t>
  </si>
  <si>
    <t>instagram.com/mente__million…</t>
  </si>
  <si>
    <t>wagnergeremia.com</t>
  </si>
  <si>
    <t>linearpay.com.br</t>
  </si>
  <si>
    <t>menezescontabilidade.com.br</t>
  </si>
  <si>
    <t>vivendoplenamente.com.br</t>
  </si>
  <si>
    <t>linktr.ee/murilo.satler</t>
  </si>
  <si>
    <t>youtube.com/c/PenseRicoDic…</t>
  </si>
  <si>
    <t>instagram.com/patroamiiliona…</t>
  </si>
  <si>
    <t>linktr.ee/mentesmilliona…</t>
  </si>
  <si>
    <t>comoempreenderonline.com.br</t>
  </si>
  <si>
    <t>freelancerproof.blogspot.com</t>
  </si>
  <si>
    <t>hotm.art/AulaAltaConver…</t>
  </si>
  <si>
    <t>linktr.ee/investimentoob…</t>
  </si>
  <si>
    <t>app.bybot.ai/new-affiliate/…</t>
  </si>
  <si>
    <t>linktr.ee/diegoskda</t>
  </si>
  <si>
    <t>guardardinheiro.com.br</t>
  </si>
  <si>
    <t>instagram.com/lucianfreirepr…</t>
  </si>
  <si>
    <t>medium.com/@tatamonet1</t>
  </si>
  <si>
    <t>wb.futurizando.com</t>
  </si>
  <si>
    <t>gptdinheiro.com.br</t>
  </si>
  <si>
    <t>pay.kiwify.com.br/Ud81dpH</t>
  </si>
  <si>
    <t>wa.me/5511973213048</t>
  </si>
  <si>
    <t>kiwify.app/velJGLO?afid=Y…</t>
  </si>
  <si>
    <t>kiwify.app/LJaXYlB</t>
  </si>
  <si>
    <t>rodrigofalasobre.com.br</t>
  </si>
  <si>
    <t>instagram.com/clubedricos/</t>
  </si>
  <si>
    <t>bit.ly/brunnadigital</t>
  </si>
  <si>
    <t>trakto.link/Milionaria</t>
  </si>
  <si>
    <t>linktr.ee/meld_defi</t>
  </si>
  <si>
    <t>instagram.com/dawisonbarbosa/</t>
  </si>
  <si>
    <t>instagram.com/en_dinheirando</t>
  </si>
  <si>
    <t>youtube.com/channel/UCoBLj…</t>
  </si>
  <si>
    <t>youtube.com/c/LigaCrypto</t>
  </si>
  <si>
    <t>bit.ly/tw_bio_revista…</t>
  </si>
  <si>
    <t>instagram.com/marcoscleberc?…</t>
  </si>
  <si>
    <t>graphichood.com</t>
  </si>
  <si>
    <t>dribbble.com/Artex7</t>
  </si>
  <si>
    <t>linktr.ee/maniampodcast</t>
  </si>
  <si>
    <t>bit.ly/_Primeiravenda_</t>
  </si>
  <si>
    <t>reviewprodutos.com</t>
  </si>
  <si>
    <t>linktr.ee/afeducacao</t>
  </si>
  <si>
    <t>bio.site/Rodrigozampron…</t>
  </si>
  <si>
    <t>ask.fm/Kahsensualizee</t>
  </si>
  <si>
    <t>linktr.ee/julionafe</t>
  </si>
  <si>
    <t>dcg.co</t>
  </si>
  <si>
    <t>linktr.ee/descomplicaft</t>
  </si>
  <si>
    <t>linktr.ee/enriquecendo_c…</t>
  </si>
  <si>
    <t>linkedin.com/in/dan-mendes-…</t>
  </si>
  <si>
    <t>fernando-augusto.com</t>
  </si>
  <si>
    <t>kakoramos.com</t>
  </si>
  <si>
    <t>api.whatsapp.com/send?phone=553…</t>
  </si>
  <si>
    <t>espiritualhope.com</t>
  </si>
  <si>
    <t>instagram.com/fiis_fundosimo…</t>
  </si>
  <si>
    <t>bit.ly/SRA-favinvest</t>
  </si>
  <si>
    <t>siacsistemas.com.br</t>
  </si>
  <si>
    <t>trabalhoefe.com.br</t>
  </si>
  <si>
    <t>keepgrowing.com.br</t>
  </si>
  <si>
    <t>msha.ke/naterciamanuela</t>
  </si>
  <si>
    <t>twitter.com/i/communities/…</t>
  </si>
  <si>
    <t>instagram.com/rosangelamarqu…</t>
  </si>
  <si>
    <t>economiapersonal.com.ar</t>
  </si>
  <si>
    <t>evoyconsorcios.com.br</t>
  </si>
  <si>
    <t>instagram.com/achadinhosdaal…</t>
  </si>
  <si>
    <t>duduhrosa13.my.canva.site</t>
  </si>
  <si>
    <t>mabcontabil.com.br</t>
  </si>
  <si>
    <t>bit.ly/6DConteúdos_bá…</t>
  </si>
  <si>
    <t>linktr.ee/byebnk</t>
  </si>
  <si>
    <t>nousi.finance/workshop-carte…</t>
  </si>
  <si>
    <t>linktr.ee/estantevirtuall</t>
  </si>
  <si>
    <t>encr.pw/Pagina-Mestre-…</t>
  </si>
  <si>
    <t>linktr.ee/romero.financas</t>
  </si>
  <si>
    <t>blurbi.com.br</t>
  </si>
  <si>
    <t>bit.ly/atendimentopos…</t>
  </si>
  <si>
    <t>https://t.co/lt9IgEpzIv https://t.co/ZCyuMlsySX https://t.co/v0LO0hcU9w https://t.co/JozMbSnELl</t>
  </si>
  <si>
    <t>https://t.co/RTIYDEvPw1 https://t.co/vLVNmPsBeR</t>
  </si>
  <si>
    <t>https://t.co/UCxA8KwHI6 https://t.co/CP1XAdMtci</t>
  </si>
  <si>
    <t>https://t.co/sZBdXACQIH https://t.co/HmK3WTvjwb</t>
  </si>
  <si>
    <t>https://t.co/14QIUv4Pj6 https://t.co/mKK0gP3nWQ https://t.co/Dzv5GdBX55</t>
  </si>
  <si>
    <t>https://t.co/l0d0t7n9hQ https://t.co/xF4WaKZ819</t>
  </si>
  <si>
    <t>https://t.co/nAEyQN5xB7 https://t.co/9zW6cl8aiT https://t.co/LwFsiAEKvB</t>
  </si>
  <si>
    <t>http://lenster.xyz/u/vagner http://lenster.xyz/u/vagnercutrim http://lenster.xyz/u/gainer http://lenster.xyz/u/12400</t>
  </si>
  <si>
    <t>http://linktr.ee/ibrahim_ali http://youtube.com/@ibrahim_ali</t>
  </si>
  <si>
    <t>https://my.bio/bancoatitude https://app.bancoatitude.com</t>
  </si>
  <si>
    <t>http://www.instagram.com/eduardogomestocantins http://www.facebook.com/eduardogomesTO</t>
  </si>
  <si>
    <t>https://bit.ly/3ToF7yX https://bit.ly/3TuLeBU https://bit.ly/40iFm0E</t>
  </si>
  <si>
    <t>http://trendset.com.br http://anchor.fm/trendset</t>
  </si>
  <si>
    <t>http://instagram.com/afonteuniversal http://facebook.com/afonteuniversal http://youtube.com/@afonteuniversal</t>
  </si>
  <si>
    <t>vida.page/imperativomoral</t>
  </si>
  <si>
    <t>mycollection.shop/dhonshop</t>
  </si>
  <si>
    <t>t.me/+RWmfPp6QTE3Cv…</t>
  </si>
  <si>
    <t>go.hotmart.com/L78388156D</t>
  </si>
  <si>
    <t>minter.com.br</t>
  </si>
  <si>
    <t>lenster.xyz/u/vagner lenster.xyz/u/vagnercutrim lenster.xyz/u/gainer lenster.xyz/u/12400</t>
  </si>
  <si>
    <t>hiltonvieira.medium.com</t>
  </si>
  <si>
    <t>t.me/mlkada_invest</t>
  </si>
  <si>
    <t>linktr.ee/ibrahim_ali youtube.com/@ibrahim_ali</t>
  </si>
  <si>
    <t>kick.com/eddieoz</t>
  </si>
  <si>
    <t>my.bio/bancoatitude app.bancoatitude.com</t>
  </si>
  <si>
    <t>t.me/paladinrood</t>
  </si>
  <si>
    <t>pay.kiwify.com.br/6Qfv5XP?afid=T…</t>
  </si>
  <si>
    <t>instagram.com/eduardogomesto… facebook.com/eduardogomesTO</t>
  </si>
  <si>
    <t>bit.ly/3ToF7yX bit.ly/3TuLeBU bit.ly/40iFm0E</t>
  </si>
  <si>
    <t>instagram.com/horadotrader/</t>
  </si>
  <si>
    <t>bit.ly/curso-jornada-</t>
  </si>
  <si>
    <t>ev.braip.com/ref?pv=proej4g…</t>
  </si>
  <si>
    <t>linktr.ee/juliocrf</t>
  </si>
  <si>
    <t>t.me/bitfinex</t>
  </si>
  <si>
    <t>trendset.com.br anchor.fm/trendset</t>
  </si>
  <si>
    <t>youup.me/penserico</t>
  </si>
  <si>
    <t>tamoneyreview.medium.com</t>
  </si>
  <si>
    <t>MELD.Fi</t>
  </si>
  <si>
    <t>linkr.bio/iniciar_a.goraa</t>
  </si>
  <si>
    <t>bit.ly/3yKMszL</t>
  </si>
  <si>
    <t>instagram.com/afonteuniversal facebook.com/afonteuniversal youtube.com/@afonteunivers…</t>
  </si>
  <si>
    <t>none</t>
  </si>
  <si>
    <t>regular</t>
  </si>
  <si>
    <t>Open Twitter Page for This Person</t>
  </si>
  <si>
    <t xml:space="preserve">mente
</t>
  </si>
  <si>
    <t>thiagoireland
Quer mudar de vida, empreender,
ter liberdade financeira e mudar
a vida das pessoas? Você pode fazer
isso com pouco investimento. Venha
conversar comigo. #Empreendedorismo
#LiberdadeFinanceira #BemEstar</t>
  </si>
  <si>
    <t>jhonatanlima0
Me segue para mais dicas 🙌 . .
. . . . . #rendaextra #ganhedinheironainternet
#Twitter #prosperidade #liberdade
#liberdadefinanceira https://t.co/NLTa3vvBFq</t>
  </si>
  <si>
    <t>mat_financeira
No mundo das oportunidades, poucas
coisas se comparam ao investimento
mais valioso: gerenciar o próprio
dinheiro. Lembre-se que não há
retorno mais promissor do que entender
nossas finanças. #EducaçãoFinanceira
#InvestimentoPessoal #LiberdadeFinanceira
https://t.co/QR3YgyeFBp</t>
  </si>
  <si>
    <t>investoom_com
Have you ever wondered which is
the largest company in the world?
#finance #liberdadefinanceira #personalfinance
#mercadofinanceiro #finances #educacaofinanceira
#independenciafinanceira #planejamentofinanceiro
#refinance #sucessofinanceiro #financeiro
#financetips https://t.co/hGSQPYyvJD</t>
  </si>
  <si>
    <t>ronysampaioadm
Taesa sua linda 🙅🏻‍♂️🙌🏼 Quem
estava esperando dividendos em
Janeiro? 😂 #taesa #b3 #investir
#educaçãofinanceira #liberdadefinanceira
#baixadasantista #finanças #dinheiro
#economia #dividendos #viverderenda
#ações #Investimentos #mulheresnabolsa
#praiagrandesp https://t.co/98UfxvsNsY</t>
  </si>
  <si>
    <t>infohindi009
Really Help Full 🌝 #finance #liberdadefinanceira
#personalfinance #mercadofinanceiro
#finances #educacaofinanceira #independenciafinanceira
#planejamentofinanceiro #refinance
#sucessofinanceiro #financeiro
#financetips #inteligenciafinanceira
#gestaofinanceira #carfinance https://t.co/DsLTdwcNj1</t>
  </si>
  <si>
    <t>agcontador_
Você têm dificuldades em fechar
no azul o financeiro da sua empresa
todo mês? Ja ouviu falar sobre
terceirizar esse servico? Eu posso
te ajudar, me pergunte como.. #bpofinanceiro
#financeiro #liberdadefinanceira
https://t.co/MTETVJvfZa</t>
  </si>
  <si>
    <t>radio_boreal
¿Cómo cambiaría el PIB total del
BRICS si los países candidatos
se unieran a la organización? #BRICS
#produc #Economia #noticias #promo
#éxito #argentina #coronavirus
#pol #tica #marketingdigital #empresas
#liberdadefinanceira #finanzas
https://t.co/oYxe2bQSB5</t>
  </si>
  <si>
    <t>webtcoficial
#webitcoin #BitcoinInvestment #RobertKiyosaki
#PaiRicoPaiPobre #Independênciafinanceira
#InvistaemPrata #InvistaemOuro
#InvistaemBitcoin #InteligênciaFinanceira
#MenteMilionária #Dicadeinvestimento
#OpçõesdeInvestimento #Liberdadefinanceira
#ProtejaSeuFuturo #Segurançafinanceira</t>
  </si>
  <si>
    <t>lisabnelson7885
Wednesday, 28 June Excellent work,
how we started the week Accomplished
goals Time to clear the mind off
the monitors #goptionbrasil #binaryoptions
#maedesucesso #rendaextra #bitcoin
#Binance #mercadofinanceiro #forex
#trader #lifestyle #liberdadefinanceira
#investing https://t.co/uQ39WlOdHx</t>
  </si>
  <si>
    <t>uilmanganelli
Isso mudou minha vida!! https://t.co/EjLEPqMks1
#Ads #liberdadefinanceira #renda
https://t.co/n0Oi5HyAHd</t>
  </si>
  <si>
    <t>af_liberdade
As 5 principais dicas para você
ganhar dinheiro todos os dias !
Que tal ganhar R$400,00 todos os
dias ? Com apenas alguns segundos
do seu tempo você pode faturar
e muito !! #dinheiro #rendaextra
#liberdadefinanceira https://t.co/CclJV57t2Z</t>
  </si>
  <si>
    <t>luciane00547445
Junte-se a mim nessa busca pela
independência financeira e vamos
alcançar nossos objetivos juntos!
💪 https://t.co/q6tzQ1yvfn #LiberdadeFinanceira
#TrabalhoComOCelular #SucessoFinanceiro
#MarketingDigital #EmpreendedorismoDigital
https://t.co/rID7Z6iWsc</t>
  </si>
  <si>
    <t>agrocapitais
🚴♂Você aprendeu andar de bicicleta
lendo um manual? 👇Clique no link
e descubra a conquista da sua liberdade
financeira👇 https://t.co/CUqQeB7NOa
#investimentos #educaçãofinanceira
#melhoresinvestimentos #liberdadefinanceira
#independenciafinanceira #mentoria
https://t.co/8a3bXU62Nl</t>
  </si>
  <si>
    <t>calilecalil
Link do investimento será enviado
somente a quem é seguidor da página.
Por favor não insista. ATENÇÃO
a garantia do FGC é limitada a
250 mil por CPF. #AcademiaDoDinheiro
#investir #b3 #ações #fii #LiberdadeFinanceira
https://t.co/tTyTJG3joZ</t>
  </si>
  <si>
    <t>eloanportugal
A e-loan Soluções Financeiras deseja
a todos um feliz 25 de abril. Conheça
melhor as nossas soluções e encontre
a liberdade financeira com que
sempre sonhou » https://t.co/b2af3qJ1Jk
#25deabril #diadaliberdade #liberdadefinanceira
#eloanpt #portugal #pacodearcos
#lisboapt https://t.co/tMRBqXvI1H</t>
  </si>
  <si>
    <t>fabiosantanacs
Você quer ficar na base ou vai
fazer oque precisa ser feito ✔️
#feliz #brasil🇧🇷 #rendaextra
#liberdadefinanceira #salário https://t.co/iHezNBZYH8</t>
  </si>
  <si>
    <t>alexandras_es
Veja! a hipocrisia da esquerda
#ptnuncamais #esquerdanão #deus
#patria #familia #liberdadefinanceira
https://t.co/Ve9Z6nG9KD</t>
  </si>
  <si>
    <t>apilfibr
📌 Atente-se ao seu CONTRATO! Apesar
de parecer simples, uma análise
contratual vai muito além de uma
leitura. Esta ação deve ser feita
por um especialista no assunto,
alguém que entenda as letras pequenas
e os detalhes que passam despercebidos.
🤝 #liberdadefinanceira https://t.co/x0B8Otcsch</t>
  </si>
  <si>
    <t>giordanobarboza
Link na bio #giangarcia #liberdadefinanceira
#homeoffice #rendaextraemcasa #rendaextra💰
https://t.co/hffcZ2ERu8</t>
  </si>
  <si>
    <t>educandopessoas
Alcance sua liberdade financeira!
Invista com sabedoria, faça seu
dinheiro crescer e atinja metas
de longo prazo. Aprenda sobre investimentos
e garanta seu futuro! #Investimentos
#LiberdadeFinanceira #AquaInvest
💰💪🚀 https://t.co/On7RNklhWR</t>
  </si>
  <si>
    <t>fairspinpt
🌟 Acorde e sinta a fortuna! 😮💰
O #Bitcoin acaba de disparar para
1 milhão de dólares! 🚀📈 🛍️ Mas
espere... Qual é a PRIMEIRA coisa
que você gastaria sem pensar? 🤔
🌟 Compartilhe seus sonhos impulsionados
por criptomoedas!✨ #CriptoMilionário
#AtéALua #LiberdadeFinanceira https://t.co/HzMxCMpIF8</t>
  </si>
  <si>
    <t>pedro_a_nery
Nunca se esqueçam, compre ao som
dos tambores e venda ao som das
flautas. #btc #Web3 #riqueza #liberdadefinanceira</t>
  </si>
  <si>
    <t>hmr1973
Liberte-se das dívidas! Nosso novo
eBook "Como Sair das Dívidas" tem
estratégias comprovadas para ajudá-lo.
Adquira agora e recupere o controle
financeiro! https://t.co/aWAnBnMqri
#finanças #dívida #liberdadefinanceira</t>
  </si>
  <si>
    <t>evandrodutrabtc
Liberdade financeira é ter autonomia
para ser quem você quiser, ir onde
quiser e fazer o que quiser. #liberdadefinanceira
#sucesso #prosperidade</t>
  </si>
  <si>
    <t>inteligentbolsa
Começando do Zero: Descubra Como
Iniciar sua Jornada Financeira
de Investimentos https://t.co/Vw4W5cN9RB
#Diversificação #Estratégia #liberdadefinanceira
#reservadeemergência https://t.co/MXrTCWPU7k</t>
  </si>
  <si>
    <t>giovaniaandre
O dinheiro não compra felicidade,
mas pode proporcionar liberdade
e tranquilidade. 💸😊 #Motivação
#Felicidade #LiberdadeFinanceira</t>
  </si>
  <si>
    <t>silvanarosaofic
Como a máxima que nos diz: o mundo
pode ser tão grande quanto você
quiser que ele seja! Me conta,
quais roteiros no mundo me recomendaria?
E por que ? #travel #trip #viagem
#liberdadefinanceira #empreendedorismo
#mentoriadecarreira https://t.co/LvDyFPAS4h</t>
  </si>
  <si>
    <t>uchoavf
Invista em você e em seu futuro!
Quer se trate de ações, imóveis
ou de sua educação, faça investimentos
inteligentes que compensarão a
longo prazo. Não espere, comece
hoje! #investmenttips #liberdadefinanceira</t>
  </si>
  <si>
    <t>crypnov4
@StanCalderelli Kudos a essa moça!
É incrível como ela entendeu que
Bitcoin é dinheiro legítimo e que
ela é dona de suas próprias escolhas.
É ótimo ver que ela não se deixou
intimidar pelos haters. #Bitcoin
#LiberdadeFinanceira</t>
  </si>
  <si>
    <t xml:space="preserve">stancalderelli
</t>
  </si>
  <si>
    <t>breenossantos
Você já parou para pensar no poder
transformador da Internet em sua
vida? Imagine ter em suas mãos
a chave para desbloquear um mundo
de oportunidades e potencializar
seus resultados. Fale comigo via
WhatsApp e Sabia mais: https://t.co/cerv0l8PoY
#sucesso #liberdadefinanceira</t>
  </si>
  <si>
    <t>bitfreedomgus
@RoceloLopes, é um dos empresários
que alinhados com a ideia de #liberdadefinanceira,
dá a oportunidade de bancarização
de qualquer brasileiro ou estrangeiro
residente no Brasil. Tenho orgulho
em trabalhar próximo e assistir
o desenvolvimento das soluções
da SmartPay</t>
  </si>
  <si>
    <t>rocelolopes
A responsabilidade é grande, mas
o prazer de falar sobre como estamos
fazendo inclusão financeira no
Brasil usando tecnologia Blockchain,
Lightning Network e USDT é gigantesco.
E aí bora pra Lugano ver o que
está acontecendo no mundo e o que
uma empresa Brasileira vai lançar
?…</t>
  </si>
  <si>
    <t>bossladymillion
Uma milionária a mais! 💸⚡️🦅 #empreendedorismo
#negocios #sucesso #dinheiro #investimentos
#finanças #riqueza #negociosonline
#liberdadefinanceira #mindsetmilionario
https://t.co/8E0G9XQkQs</t>
  </si>
  <si>
    <t>sandroveiga_
#liberdadefinanceira #rendavariavel
#rendapassiva #educacaofinanceira
#investimento #independênnciafinanceira
#economia #criptomoedas #motivação
#atualidades  #desenvolvimentopessoal
#desenvolvimentoprofissional #empreendedorismo
#utilidadepública #curiosidades
#reels #viral https://t.co/W252zk4SeX</t>
  </si>
  <si>
    <t>egsinvestiment2
🚴♂Você aprendeu andar de bicicleta
lendo um manual? 👇Clique no link
e descubra a conquista da sua liberdade
financeira👇 https://t.co/6Z42ZQptAJ
#investimentos #educaçãofinanceira
#melhoresinvestimentos #liberdadefinanceira
#independenciafinanceira #mentoria
https://t.co/poaOJFDS0s</t>
  </si>
  <si>
    <t>agconstelacao
A mudança financeira que você procura
está dentro de você e a gente sabe
como te ajudar a alcançar! ⤵️ Venha
ser streamer do app #Iwee!🚀 Informações:
https://t.co/fhuJQiyBLz #homeoffice
#liberdadefinanceira #liberdadegeografica
#streamer #yaar #livu #fancyme
#modelo #atriz https://t.co/59KkQkw7O8</t>
  </si>
  <si>
    <t>williamhuntbr
🔥PROMOÇÃO: Descubra como desbloquear
sua Liberdade Financeira de uma
vez por todas: https://t.co/Bi0RwAbgpo
#investimento #agronegocio #bolsadevalores
#finanças #educaçãofinanceira #comoinvestir
#renda #investir #liberdadefinanceira
https://t.co/K22T2HH3xR</t>
  </si>
  <si>
    <t>raiamparts
ENTENDA POR QUE USO UM RELÓGIO
DE 80 MIL REAIS! #milionário #liberdadefinanceira
#rico #negao #rolex #raiamsantos
#morarfora #nomade #nomademilionario
#nomadedigital #relogio #relogios
#viajar #marketingdigital #mindset
https://t.co/DvTaEPtwGI</t>
  </si>
  <si>
    <t>arbv_assessoria
📢📢 ATENÇÃO TUTELA ANTECIPADA
CONCEDIDA,IMÒVEL BANCO BRADESCO.
Correção das parcelas 😍😍 vamos
pagar o justo vamos ? #diganaoaojurosabusivos
#liberdadefinanceira #Defendaseusdireitos
#Codigodedefesadoconsumidor https://t.co/RCzMRNfwL4</t>
  </si>
  <si>
    <t>dhon_511
Meta agora é garantir a liberdade
financeira... E vocês? #liberdadefinanceira
#Finance #renda #investing #investment</t>
  </si>
  <si>
    <t>pasidneysantos
Descubra o segredo dos negócios
online de sucesso! Alcance liberdade
financeira e conquiste seus sonhos
através do empreendedorismo digital.
🎦 https://t.co/yGy0tqCmKY #NegóciosOnline
#SucessoDigital #Empreendedorismo
#LiberdadeFinanceira" https://t.co/nbFIh9hleg</t>
  </si>
  <si>
    <t>_paulomedeiros
Se vc não tem e não está montando
sua reserva de emergência, você
abrindo as portas para a destruição
do seu patrimônio… acredito a uma
grande chance disso.. #reservadeemergencia
#liberdadefinanceira #rendafixa
https://t.co/0KwSy7D1Fx https://t.co/jkV3qbr1zX</t>
  </si>
  <si>
    <t>_erik_sb
Siga em frente, sua hora vai chegar!!!!!🚀
#crescimento #produtividade #estrategiademarketing
#midiasdigitais #negociodigital
#marketingdeafiliados #trabalhoemcasa
#liberdadefinanceira #empreendendorismosocial
#networking https://t.co/eo2vEFUp7X</t>
  </si>
  <si>
    <t>seutempoemrenda
Revelações sobre investimentos
#investimentos #ganhardinheiro
#liberdadefinanceira https://t.co/g4ke1vKhag</t>
  </si>
  <si>
    <t>e_comprar
Aportes constantes e foco no longo
prazo levam a tão sonhada liberdade
financeira. #acoes #fundosimobiliarios
#bolsadevalores #longoprazo #liberdadefinanceira</t>
  </si>
  <si>
    <t>conservadora191
Impostos justos significam mais
liberdade financeira para todos.
Uma carga tributária equilibrada
promove a capacidade das pessoas
de fazerem escolhas sobre como
gastar, investir e planejar seu
futuro. Menos impostos, mais liberdade!
📊💹 #LiberdadeFinanceira #Escolhas</t>
  </si>
  <si>
    <t>borafalardguito
#financaspessoais #pagarteprimeiro
#liberdadefinanceira #financas
#Independenciafinanceira</t>
  </si>
  <si>
    <t>weweglob
Aprenda como GANHAR BITCOIN TODO
DIA. ➡️ https://t.co/Z2YKB4umg8
📲 +5551981708833 🔗 https://t.co/LSwvHkGumE
- - - #Ethereum #Bitcoin #Zenit
#WeweGlobal #Criptomoeda #CloudMinting
#DeFi #ICO #DAO #LiberdadeFinanceira
#Multinivel #LifeStyle #JulioNafe
#MudançaDeVida https://t.co/fK7hZgFWxW</t>
  </si>
  <si>
    <t>dracma316789
Dracma token #Dracma #token #liberdadefinanceira
#criptomoeda https://t.co/TuxOzksY3W</t>
  </si>
  <si>
    <t>rodrigosrp4
🌟 Descubra o segredo da Liberdade
Financeira e Liberte-se do DESGOVERNO!
💼💰 Você tem o poder de transformar
sua vida. Não é apenas economizar,
é investir inteligentemente e conquistar
o que sempre desejou. 💪✨ #LiberdadeFinanceira
#InvistaNoSeuFuturo 🚀🔑</t>
  </si>
  <si>
    <t>prodrigues_cea
Quanto antes você começar a investir,
mais rápido você verá o poder da
educação financeira e dos juros
compostos na sua via. #apenascomece
#liberdadefinanceira</t>
  </si>
  <si>
    <t>andrenegociosbr
💰Para alcançar a liberdade financeira:
1️⃣ Planeje metas e orçamento.
2️⃣ Invista em conhecimento. 3️⃣
Seja persistente e disciplinado.
💪💼 Com esses comportamentos,
você alcançará a liberdade financeira.
Vamos rumo ao sucesso! #LiberdadeFinanceira
#Planejamento #Investimentos</t>
  </si>
  <si>
    <t>mktdigital2023
Um dos nossos professores já deu
a dica, e ai vai vir fazer parte?
Acesse https://t.co/W2FzIxYzbs
e veja toda a estrutura para você
mudar sua vida. 🤩🚀🚀 #DolarBlue
#Dolar #RendaExtra #tralhaemcasa
#Oportunidade #dinheiro #treinamento
#trabalhoonline #liberdadefinanceira
https://t.co/lS669wOdgQ</t>
  </si>
  <si>
    <t>acadfinancas
Cria hábitos positivos relativamente
ao dinheiro 🙌 👉🏻Segue @acadfinancas
#investidorinteligente #liberdadefinanceira
https://t.co/nfqXf9k9ea</t>
  </si>
  <si>
    <t>luan2523306
"Quer conquistar a sonhada liberdade
financeira? 💸💪 Descubra os passos
para alcançar a independência financeira
e viver a vida dos seus sonhos!
🌟✨ #LiberdadeFinanceira #Independência
#VidaDosSonhos #ConquisteSeusObjetivos"
https://t.co/ZMRPIOdP8I</t>
  </si>
  <si>
    <t>infogainbrazil
As criptomoedas revolucionaram
a forma como entendemos o dinheiro
e o investimento. Com a descentralização
e a segurança da tecnologia blockchain...
acesse para ler a matéria completa
https://t.co/bGpx6LewFR #Criptomoedas
#Bitcoin #LiberdadeFinanceira #infogain
https://t.co/K1ve4ARywe</t>
  </si>
  <si>
    <t>minteredu
Organizar-se financeiramente pode
parecer difícil, mas com as estratégias
certas, é possível ter uma vida
financeira melhor ➡ @minteredu
#finanças #educaçãofinanceira #finançaspessoais
#investimentos #planejamentofinanceiro
#vidafinanceira #dinheiro #liberdadefinanceira
https://t.co/nstiMyHpxg</t>
  </si>
  <si>
    <t>tradersaed
#ganhardinheiro #investimentos
#trading #finanças #empreendedorismo
#negócios #marketingdigital #rendaextra
#dinheiro #sucesso #liberdadefinanceira
#foco #motivação #economia #investir
#oportunidades #trabalharemcasa
#dinheiroextra #independenciafinanceira
#educacaofinanceira https://t.co/tshnZVARFm</t>
  </si>
  <si>
    <t>irineubere
👣 Você já definiu o caminho que
te leva à liberdade financeira?
#liberdadefinanceira #caminhos
#financaspessoais https://t.co/XHTnLS2fRP</t>
  </si>
  <si>
    <t>leandrotst39
Use a Internet para ganhar dinheiro!
Conheça 👇 https://t.co/PDtnLQnaMN
#marketingdigital #liberdadefinanceira
#frasesinspiradoras #frasesmotivacionais
#frasesdiarias #mentemilionaria
#mentedesucesso #motivação #motivacional
#fé #ambicaomilionaria #viral #empreendedorismo
https://t.co/kDdk2AaPJK</t>
  </si>
  <si>
    <t>cryptoportugal1
1/7 🚀 Prepare-se para descobrir
uma rota secreta para a #riqueza
e a #liberdadefinanceira, um atalho
fascinante para a abundância na
juventude, sem esperar a velhice.
Descubra este atalho escondido!
THREAD 🧵⤵️ https://t.co/JFW5eJU3uD</t>
  </si>
  <si>
    <t>arielyaari44402
Wednesday, 28 June Excellent work,
how we started the week Accomplished
goals Time to clear the mind off
the monitors #goptionbrasil #binaryoptions
#maedesucesso #rendaextra #bitcoin
#Binance    #mercadofinanceiro
#forex #trader #lifestyle #liberdadefinanceira
#investing https://t.co/TsIhSOuqNe</t>
  </si>
  <si>
    <t>vendas0nline_
🚀Tudo isso eu consegui através
do através do 💸marketing digital!
Você quer ser seu próprio chefe
e trabalhar pela internet onde
e quando quiser ? 📱Clica no link
da bio e Saiba mais! #cursosonline
#mktdigital #eduzz #vendas #afiliados
#vendasonline #liberdadefinanceira
https://t.co/emwrTkKZJP</t>
  </si>
  <si>
    <t>luiswolftigre
Não desista! #MarketingDigital
#dinheiro #liberdadefinanceira
#motivação #edit https://t.co/UhEwcnwv3Z</t>
  </si>
  <si>
    <t>emprestimopravc
Invista em si mesmo, visite o nosso
site e veja como contratar um empréstimo
online para negativados, lembramos
que, Não Cobramos Taxas Antecipadas,
(Link na Bio) #liberdadefinanceira
#emprestimoseguro #emprestimoonline
#dicasfinanceiras #educaçãofinanceira
https://t.co/FImDSs0xHv</t>
  </si>
  <si>
    <t>jonasrochareal
O meu objetivo é ganhar dinheiro
e investir para ter um futuro melhor!!!
#liberdadefinanceira #financas</t>
  </si>
  <si>
    <t>made_hits
Parece que faz muito tempo! Quem
já conseguiu trabalho através do
"Amarelinho"? 🌼💼#StudioMadeHits
#InvestidoresdaQuebrada #TVMadeHits
#empresas #opções #comoinvestir
#liberdadefinanceira #radioshow
#viralvideos #videoviral #tiktokviral
#videostaredits #trendingvideos
https://t.co/pGIuvJ1owt</t>
  </si>
  <si>
    <t>jerryfetta
Get started now with your Blueprint
to financial freedom: https://t.co/hrMPntvFGC
DM me to schedule a time with one
of our Wealth Endorsed Mentors
and get started on your Sacred
Account. #finance #liberdadefinanceira
#personalfinance #mercadofinanceiro
#finances https://t.co/Fnu9ygScUz</t>
  </si>
  <si>
    <t>herbstflavio
Quer saber mais? Acesse: https://t.co/5ROjuRX0TU
e conheça nossos serviços. (Link
na Bio) #fwbplanejamentofinanceiro
#planejamentofinanceiro #sonhos
#investimentos #liberdadefinanceira
#aposentadoria #planejamento https://t.co/EX2YX0ZLtd</t>
  </si>
  <si>
    <t>wiskton
Deixe o dinheiro trabalhar para
você e alcance a independência
financeira. #investimentos #dinheiro
#bolsadevalores #investimento #mercadofinanceiro
#o #finan #empreendedorismo #a
#investir #liberdadefinanceira
#sucesso #es #as #rendaextra #economia
#ed… https://t.co/2S3IBjIcgC https://t.co/Pap3epQtuX</t>
  </si>
  <si>
    <t>fernandokobuti
Quanto de dinheiro devemos ter
no banco para ficarmos “tranquilos”
pro resto da vida? #independenciafinanceira
#investimentos #aposentadoria #regradetres
#regrade3 #liberdadefinanceira
#inteligencialimitada #thiagofinch
#finch #rogeriovilela #vilela https://t.co/5dbLgLITSE</t>
  </si>
  <si>
    <t>newsdigital360
10 Estratégias Para Alcançar a
Independência Financeira https://t.co/SqFLRK4Zt0
#independenciafinanceira #financaspessoais
#investimentos #rendapassiva #gerenciamentodedividas
#educacaofinanceira #aposentadoria
#consultoriafinanceira #liberdadefinanceira
#planejamentofinanceiro https://t.co/mZZ0UGoH8b</t>
  </si>
  <si>
    <t>vagnercutrim
"Descubra a liberdade das criptomoedas:
transações rápidas, seguras e sem
fronteiras. Seja dono do seu dinheiro.
#Criptomoedas #Blockchain #LiberdadeFinanceira"</t>
  </si>
  <si>
    <t>rv_rafaelvieira
#willow #lulu #luludapomerania
@rv_rafael_vieira #animallovers
#cachorro #cachorrosfofos #brasil
#amor #liberdadefinanceira #sera
#lua #sol #amore https://t.co/9JaB8WtOjX</t>
  </si>
  <si>
    <t>nunocostaswiss
"Liberdade financeira é uma conquista
que vale a pena buscar. Trabalhar
duro, investir e ter disciplina
são fundamentais para alcançá-la.
#liberdadefinanceira #investimentos
#sucesso"</t>
  </si>
  <si>
    <t>ilha_invest
Se você chegou até aqui, se interessou
por essa Jornada e deseja saber
como e onde investir para alcançar
essa tão sonhada #LiberdadeFinanceira
basta curtir e comentar aqui para
que eu possa te ajudar na prática
Corre que é sem custo apenas para
as primeiras 10 pessoas 🚀</t>
  </si>
  <si>
    <t>hilvieira
“Como Sobreviver A Uma Recessão
Em 5 Passos!” by Hilton Vieira
https://t.co/KhtnnkRHmQ #planejamentofinanceiro
#investimento #poupanca #gestaodedinheiro
#economiapessoal #educacaofinanceira
#liberdadefinanceira #segurancafinanceira
#independenciafinanceira #rendapassiva
https://t.co/w78jEsZapP</t>
  </si>
  <si>
    <t>cyaned92
🎯 Qualquer lugar… pode ser seu
local de produtividade. . #work
#consultoria #treino #musculação
#liberdadegeografica #liberdadefinanceira
#trabalhoonline https://t.co/wgbATFhi0L</t>
  </si>
  <si>
    <t>alexempreender
A liberdade financeira é a chave
para viveres a vida ao máximo.
Imagina não te preocupares com
as contas e poderes investir nas
tuas paixões. Quero partilhar contigo
estratégias comprovadas. Fica atenta!
#AlexandraSeixasAcademias #LiberdadeFinanceira
#VidaPlena https://t.co/FVWh8p0FZo</t>
  </si>
  <si>
    <t>helio_couto
Frase da aula: "INTENÇÃO SUBJETIVA
E PROSPERIDADE". Assista na EAD:
https://t.co/kte0QvbF2r #prosperidade
#intenção #intuição #sentimento
#prosperar #ganhardinheiro #liberdadefinanceira
#mecânicaquântica #leidaatração
#inconsciente #consciente #subconsciente
#heliocouto https://t.co/r0UyHC4Yyw</t>
  </si>
  <si>
    <t>axcrestfall
https://t.co/DDmRplCXDD #PaiRicoPaiPobre
#EducaçãoFinanceira #FinançasPessoais
#Investimentos #SucessoFinanceiro
#Empreendedorismo #LiberdadeFinanceira
#PlanejamentoFinanceiro #EducaçãoFinanceiraParaTodos
#RiquezaMental</t>
  </si>
  <si>
    <t>luxcapital_
Na jornada rumo à liberdade financeira,
conte com a Lux para oferecer recursos
e ferramentas essenciais que maximizam
suas oportunidades de investimento.
#InvestimentosInteligentes #PlanejamentoFinanceiro
#DecisõesInformadas #LiberdadeFinanceira
#ConsultoriaFinanceira #LuxCapital
https://t.co/vwKKa3KO68</t>
  </si>
  <si>
    <t>silvatiago87295
Gosta de dicas de renda? aqui vai
algumas.😉💰 #rendaextra #liberdadefinanceira
#SalarioMinimo #Renda https://t.co/OuRaSS9RIc</t>
  </si>
  <si>
    <t>mlkada_invest
Fala mulekada! Não tem sensação
melhor que essa! 🤑 Ainda mais
com tantas empresas anunciando
proventos nos últimos dias! #MulekadaInvestidora
#Economia #Negócios #Dividendos
#Sucesso #LiberdadeFinanceira #RendaPassiva
https://t.co/T8punNBPzi</t>
  </si>
  <si>
    <t>misescpitalista
Bancos quebrando no EUA lembra
a crise financeira de 2008 e o
motivo que levou a criação do #Bitcoin,
a valorização das criptomoedas
nos últimos dias, mostra que a
verdadeira tese do BTC está funcionando!
#BuyBitcoin</t>
  </si>
  <si>
    <t>deborahtelles
Um dia, nosso querido, honesto
e humano Glaidson Acácio, sairá
da prisão absurda a q foi submetido,
depois de toda a perseguição, injúria
e difamação. Ele sempre disse:
melhor q terceirizar trade é comprar
criptomoeda #Bitcoin #GlaidsonLivre
#CompreBitcoin #LiberdadeFinanceira</t>
  </si>
  <si>
    <t>blogparaopovo
Espero que esse artigo te ajude
na mudança de vida, deixe seu comentário
sobre o assunto, vamos trocar essa
ideia! #liberdade #liberdadefinanceira
#paraopovo https://t.co/nMRZpc3zy2</t>
  </si>
  <si>
    <t>cryptonoide_
Preparados para explorar e aprender
tudo sobre o universo de criptomoedas
de uma forma descomplicada? Então
já segue para não perder nada!!
#bitcoin #crypto #blockchain #educacaofinanceira
#criptomoedas #cryptolife #futurofinanceiro
#moedadigital #liberdadefinanceira
#cryptonoide</t>
  </si>
  <si>
    <t>digitalfinace
Helpline பைனான்ஸ் வயது மற்றும்
வருமான தகுதிகளின் அடிப்படையில்
சம்பளம் மற்றும் சுயதொழில் செய்பவர்களுக்கு
கவர்ச்சிகரமான வட்டி விகிதத்தில்
கார் கடன்களை வழங்குகிறது, id:admin@helplinefinancesserviceandsolution.com
mobile:+91 8098096666 #finance
#liberdadefinanceira #personalfinanc
https://t.co/ZhALRrLfn1</t>
  </si>
  <si>
    <t>newtechnotopics
Artificial intelligence (AI) solutions
will enable financial institutions
and banks to optimize their service
offerings in this ever-changing
and #finance #liberdadefinanceira
#financeiro #refinance #financebroker
#financemanager #intelligenceartificial
https://t.co/9j3YJ7xxnM</t>
  </si>
  <si>
    <t>leandro9marques
Essas são alguns formas de você
ter uma renda mensal e fazer o
seu dinheiro trabalhar para você
de forma inteligente, já pensou
em receber dinheiro sem trabalhar?
#bolsadevalores #investimentos
#trader #dinheiro #liberdadefinanceira
#rendapassiva #cdb #poupanca #acoes
#fiis https://t.co/DcyfLR1y2e</t>
  </si>
  <si>
    <t>beatrizvahl
#rendaextra #liberdadefinanceira
#trabalhardecasa #semaparecer #mulheres
https://t.co/N1L1aKT1dl https://t.co/gjpFCwhly9</t>
  </si>
  <si>
    <t>danillobiete
Do livro Mais esperto que o diabo
#livro #Finance #liberdadefinanceira
https://t.co/eMqSoi2EkM</t>
  </si>
  <si>
    <t>milan_prosper
WISHING YOU A PREDICTABLE, PROFITABLE,
SUSTAINABLE NEW YEAR AHEAD #finance
#liberdadefinanceira #personalfinance
#mercadofinanceiro #finances #educacaofinanceira
#independenciafinanceira #planejamentofinanceiro
#refinance #sucessofinanceiro #financeiro
#financetips #Inteligencia https://t.co/jl1gVdUfSu</t>
  </si>
  <si>
    <t>sicoobcrediara
Às vezes parece que alcançar a
liberdade financeira é uma #MissãoImpossível?
A boa notícia é que não precisa
ser assim! Aproveite pra dar esse
passo hoje mesmo! 💸Sua #LiberdadeFinanceira
começa aqui: https://t.co/5KtXglHBp3.b
https://t.co/wdQ420kcNM</t>
  </si>
  <si>
    <t>joseanesoll
🎉Chegou o momento de conquistar
sua independência financeira. Pronta
pras oportunidades que estão surgindo?
Acesse o link que a Josie te conta
o passo a passo https://t.co/y3zjqcyOMR
• #semijoias #liberdadefinanceira
#semojoiasdeluxo #mulheresempreendedoras
#brincos #aneis https://t.co/3cVT2FWH2x</t>
  </si>
  <si>
    <t>sunonoticias
Ebook da Jornada Financeira: Aprenda
a dar os primeiros passos com @gabrielamosmann
. Ao final deste Ebook você vai
descobrir os 5 passos para a #liberdadefinanceira
Receba aqui: https://t.co/MHLJgqW3xP</t>
  </si>
  <si>
    <t>izaias_liborio
Oportunidade Blue Venha fazer parte
da Blue Drops. Saúde e Renda passiva
na mesma oportunidade, marketing
de relacionamento! #rendapassiva
#empreender #liberdadefinanceira
#rico #prosperidade #prosperidadefinanceira
#rendaextraemcasa https://t.co/VlZYe1YxFP
https://t.co/QhImMVx2zp</t>
  </si>
  <si>
    <t>cammilatorres91
Participe do nosso grupo de WhatsApp
e tire suas dúvidas 😉👍 https://t.co/EkPKCKVeqa
#rendaextra #liberdadefinanceira
https://t.co/LvErzXD42m</t>
  </si>
  <si>
    <t>papodemilhao022
Saia da roda dos pense, pense fora
da caixinha 📦💭 #liberdadefinanceira
#dividendos #rendapassiva https://t.co/wCq0ym5aMd</t>
  </si>
  <si>
    <t>cartianuel1725
Uma das melhores formas de construir
fortuna e liberdade financeira
de forma acelerada, note que isto
não é uma promessa de dinheiro
fácil ok, existe um trabalho a
ser feito, porém, todos conseguem....
#dinheiro #rendaextra #liberdadefinanceira
#sucessofinanceiro #sonhos https://t.co/XePzJZvOaM</t>
  </si>
  <si>
    <t>deborarosacoach
Concorda com essas palavras? Comenta
aqui se você é um empreendedor
nato! #empreender #empreendedorismo
#sucesso #empreendedor #negocios
#business #vendasonline #empreendertransforma
#liberdadefinanceira #investimento
#trabalho https://t.co/nEveiu2PfC</t>
  </si>
  <si>
    <t>achadosdomark
#EducaçãoFinanceira #FinançasPessoais
#PlanejamentoFinanceiro #LiberdadeFinanceira
#Investimentos https://t.co/OrPmXtEQGP</t>
  </si>
  <si>
    <t>brunno_brss
Ao administrar o dinheiro com sabedoria,
ganhamos liberdade para fazer escolhas
selecionadas com nossos valores
e objetivos de vida. Isso é a cerne
da visão estoica sobre finanças.
#Estoicismo #LiberdadeFinanceira"</t>
  </si>
  <si>
    <t>eduardo_mp28
Mande "eu quero" que te ensino
a fazer dinheiro com seu celular
e mudar de vida 🫶🏻#marketingdigital
#luxurylifestyle #liberdadefinanceira
#riqueza #viral https://t.co/VjV812rxj6</t>
  </si>
  <si>
    <t>rodlrod
Um negócio disruptivo explode devido
a duas coisas: um modelo de negócio
disruptivo, e uma tecnologia disruptiva.
Segue o🧵 #empreendedorismo #negocios
#bitcoin #liberdadefinanceira</t>
  </si>
  <si>
    <t>sigler_marcia
#jundiai #justiça #Kids #KidsZone
#kuara #kuarahotel #lajes #lancamento
#lancamentos #lanchonete #Lapa
#lebiscuit #leite #leodeArgan #ler
#Liberdade #liberdadefinanceira
#liberdadesp https://t.co/R2RxtbVk6Z</t>
  </si>
  <si>
    <t>comoreinventar
📚💰 Quer saber quais são os livros
que vão mudar sua vida financeira?
🤔 Descubra agora os 🔝1️⃣0️⃣ melhores
livros sobre liberdade financeira
🤑, escritos por só autor consagrado!
#livros #finanças #liberdadefinanceira
#TOP10 https://t.co/jMGAx7LVdc</t>
  </si>
  <si>
    <t>pammalpari
Aprenda a escolher as melhores
estratégia https://t.co/XYzm6gK0He
via @YouTube #educaçãofinanceira
#liberdadefinanceira + https://t.co/nlhYWGqcNl...
Descubra o poder da educação financeira
e aprenda a fazer escolhas inteligentes
de investimento! Você já se perguntou
como</t>
  </si>
  <si>
    <t xml:space="preserve">youtube
</t>
  </si>
  <si>
    <t>juliomauriciojm
Carregando a minha pasta para independência
Financeira...🇲🇿 #independenciafinanceira
#liberdadefinanceira #juventudemilionaria
https://t.co/gvUEqC2YAn</t>
  </si>
  <si>
    <t>ibrahimalireal
Marca seu amigo que não tem vergonha
na cara! #liberdadefinanceira https://t.co/XJlQ5rwEci</t>
  </si>
  <si>
    <t>eddieoz
Um indivíduo criou uma cópia do
seu Bored Ape no Bitcoin e queimou
a cópia original no Ethereum. Gênio
ou mula? . . . . . #nft #cripto
#trading #ethereum #btc #eth #brasil
#investimentos #bitcoins #mercadofinanceiro
#liberdadefinanceira #criptomoeda
#criptos #criptomoedas https://t.co/7HYC3Cu7QX</t>
  </si>
  <si>
    <t>finvestmentor
Finvestmentor will help you create
investments apt for financing your
dreams. To know more about DBFS
Finvestmentor Advisory Services,
please visit your nearest DBFS
branch. #finance #liberdadefinanceira
#personalfinance #mercadofinanceiro
#finances #educacaofinanceira https://t.co/5PPurVJWCd</t>
  </si>
  <si>
    <t>kevintirocerto
Tá difícil! 😓 Mais eu não vou
desistir. 🙏🏼 #LiberdadeFinanceira</t>
  </si>
  <si>
    <t>wilsondesousa_
Quem tem excelência naquilo que
se propõe a fazer, não se importa
com a concorrência. Você pode...Você
consegue.... acompanhe o Instagram
@wilsondesousa_ #liberdadefinanceira
https://t.co/zi1VlRYzkK</t>
  </si>
  <si>
    <t>bancoatitude
#CashbackAtitude #LiberdadeFinanceira
#SonheGrande Conheça Wendel Mello,
que transformou seu hobby em negócio
com ajuda do cashback Atitude.
Sonhe como ele! #EmpreendaComCashback
#HistoriasDeTransformacao Wendel
Mello fala como o cashback Atitude
viabilizou https://t.co/YF7TaBam4P</t>
  </si>
  <si>
    <t>barcecripto
😎 - Eu vejo barras grandes de
alta. 😳 - Com qual frequência?
😎 - Todos os dias! 🚀🐃 E você?
Já está acumulando seus Satoshis
rumo ao próximo topo histórico?
⛰️ 🚀 Não dê bobeira, $1 milhão
já é logo ali! #BTC #Bitcoin #liberdadefinanceira
#volatilidade</t>
  </si>
  <si>
    <t>juliana_perfil_
Respeite o processo da construção,
lá na frente verás uma grande obra
de recompensas. 📱 🌎 💻 Acesse
o link da bio #MarkentingDigital
#MarkentingBrasil #MarkentingDeAfiliados
#TrabalhoEmCasa #Trabalho #LiberdadeFinanceira
#LiberdadeGeográfica #ComeçandoDoZero
https://t.co/fZh8hNTsiw</t>
  </si>
  <si>
    <t>marcosacc27
#QuemPensaEnriquece #LiberdadeFinanceira
#doTerra https://t.co/1R2NxMzjCZ</t>
  </si>
  <si>
    <t>africano_trader
🐱 Conquiste a selva financeira
com o Gatinho da Ganância e da
Ambição! 📈 Explore a bolsa de
valores e transforme seus instintos
em lucros incríveis. 🚀 Comece
sua jornada rumo ao sucesso hoje
mesmo! 💰🌟 #BolsaDeValores #liberdadefinanceira
https://t.co/xlVyMWqvKj https://t.co/pLnEEXMA5S</t>
  </si>
  <si>
    <t>adcamenhe
Trace um plano de pagamento, priorize
as suas dívidas e evite mais acúmulos.
Comece a trilhar um caminho mais
leve em direção à independência
financeira. 🌟💰 #Dívidas #LiberdadeFinanceira
#PlaneamentoFinanceiro #CrescimentoFinanceiro</t>
  </si>
  <si>
    <t>a_donnaire
DEIXE O TEU LIKE, COMENTE e COMPARTILHE
PARA QUE MAIS PESSOAS TENHAM ACESSO
A ESSE CONTEÚDO. #finanças #pessoais
#liberdadefinanceira</t>
  </si>
  <si>
    <t>investoom
Have you ever wondered which is
the largest company in the world?
#finance #liberdadefinanceira #personalfinance
#mercadofinanceiro #finances #educacaofinanceira
#independenciafinanceira #planejamentofinanceiro
#refinance #sucessofinanceiro #financeiro
#financetips https://t.co/Y511BxDs2B</t>
  </si>
  <si>
    <t>paladinrood
🌐 À beira da revolução digital,
é crucial decifrar o papel das
CBDCs na economia. Prometendo modernização,
questionamos: liberdade ou controle
estatal? Descubra em nosso artigo.
#CBDCs #Bitcoin #LiberdadeFinanceira
https://t.co/U8g51YxN7P</t>
  </si>
  <si>
    <t>druzi11
Quanto mais você investe, mais
renda conquista. Quanto mais renda,
mais opções de investimentos você
tem. E quanto mais opções de investimentos,
mais livre financeiramente você
se torna. 💰📈🗽🦍 #Investimentos
#LiberdadeFinanceira"</t>
  </si>
  <si>
    <t>antonellampaiva
Um método desenvolvido para mulheres
que buscam a sua liberdade financeira
e querem utilizar a internet como
meio para construir um negócio
sólido, lucrativo e exponencial.
⬇️⬇️⬇️ https://t.co/GmefheqOhr
#sejapatroa #liberdadefinanceira
https://t.co/EBXEnUJjAC</t>
  </si>
  <si>
    <t>dnatalia_d
Esse negócio de há eu não sei o
que fazer aqui se não tiver uma
análise técnica gráfica… é coisa
do passado! #trader #liberdadefinanceira
#voar #experience #ia https://t.co/o4qnOA6FLC</t>
  </si>
  <si>
    <t>the_nomadship
Empreendedorismo: o caminho para
a renda e independência financeira.
Se você acredita no poder de criar
o seu próprio futuro, junte-se
a mim nessa jornada! #empreendedorismo
#rendaextra #sucesso #liberdadefinanceira</t>
  </si>
  <si>
    <t>kauedpoll
Lucrando de qualquer lugar desse
mundo 🌎... #liberdadefinanceira
#boralucrar #pracimaporra https://t.co/1ywkJC5ice</t>
  </si>
  <si>
    <t>tucoinvest
Os bancos estão cada vez mais dificultando
os empréstimos e o número de empréstimos
vem caindo, isso normalmente acontece
antes das recessões... #bolsadevalores
#stock #cripto #bitcoin #investimentos
#liberdadefinanceira https://t.co/WFL08z8Vyi</t>
  </si>
  <si>
    <t>girofinanceiro
CARTÃO PRIVALIA BTG PACTUAL VALE
A PENA | COMO FUNCIONA | SEM ANUIDADE
https://t.co/vXaflQwo0y #Educacaofinanceira
#liberdadefinanceira #independeciafinanceira
#inteligenciafinanceira</t>
  </si>
  <si>
    <t>maisumsilva__
Não é preciso confiar em governos
ou bancos para ter liberdade financeira.
Com o Bitcoin, cada indivíduo é
dono do próprio dinheiro e tem
o poder de decidir como e quando
usá-lo. #Bitcoin #AnCap #LiberdadeFinanceira</t>
  </si>
  <si>
    <t>moneymarkets_br
📢 #Investimentos: estratégias,
dicas e exemplos práticos. Estratégias
Inteligentes e Dicas Essenciais
para Maximizar seus Investimentos
e Alcançar a #LiberdadeFinanceira.
Saiba tudo 🎯 https://t.co/eSawKwZwvf
#moneymarkets https://t.co/6VUJHmCwvW</t>
  </si>
  <si>
    <t>patriciaalc0211
"Conquiste sua independência financeira
e realize seus sonhos com Amei
Cosméticos. Seja dono(a) do seu
próprio sucesso e escreva sua história
de empreendedorismo. #LiberdadeFinanceira
#AmeiCosméticos https://t.co/41mj4Opme1</t>
  </si>
  <si>
    <t>lucianomathias
Deixe sua opinião nos comentários
e vamos continuar a discussão sobre
como a tecnologia pode ajudar a
promover mais liberdade financeira
e privacidade para as pessoas.
#Bitcoin #Criptomoedas #ResistênciaPacífica
#LiberdadeFinanceira</t>
  </si>
  <si>
    <t>pamelam72356001
Comece hoje a mudar sua história,
viva o melhor da vida... ✨️ Siga
no Instagram: @vendas.no_automatico
✅️ #liberdadefinanceira #mercadodeafiliados
#trabalhandoemcasa #mercadodigital
https://t.co/xGJSktGDGH</t>
  </si>
  <si>
    <t xml:space="preserve">vendas
</t>
  </si>
  <si>
    <t>diego_motivador
Oque vc faria com 1 milhão de reais?
#dinheiro #riqueza #liberdade #liberdadefinanceira
#rico</t>
  </si>
  <si>
    <t>p_lucachinski
✨✨✨ #liberdadefinanceira #marketingdigital
#mulheresempoderadas #mulheresempreendedoras
#extraordinário https://t.co/jBfscyBrQj</t>
  </si>
  <si>
    <t>wikifxbroficial
"A maioria dos investidores é orientada
pela renda e quanto dinheiro eles
podem ganhar, e presta pouca atenção
ao risco e quanta perda eles podem
suportar."-Seth Andrew Klarman
https://t.co/lEQ1aDPc1r #forex
#forextrading #iniciante #investimentos
#riqueza #liberdadefinanceira https://t.co/VOAaDZ0WqB</t>
  </si>
  <si>
    <t>japonews_eth
Vamos juntos rumo à liberdade financeira!
[6/6] #Investimentos #Criptomoedas
#Ações #RendaVariável #LiberdadeFinanceira</t>
  </si>
  <si>
    <t>davidejesuseth
🫶🏻😎 #B3 #bolsadevalores #dividendos
#rendapassiva #liberdadefinanceira
https://t.co/bX2WVDpFJt</t>
  </si>
  <si>
    <t>dominvestidor
Teaser Dom Investidor. Aqui você
irá receber muito conteúdo de qualidade
sobre Investimentos, Negócios,
Renda extra e Independência Financeira.
Esse é só o começo, espero que
vocês gostem, muito obrigado. #investimentos
#liberdadefinanceira #negocios
#rendaextra https://t.co/guy8cbWlXi</t>
  </si>
  <si>
    <t>gfmillionaerin
Bald online auf #XinXii: Das #Ebook
"A minha namorada é uma milionária.
Die Übersetzung des deutschen Bestsellers
auf Portugisisch. #empreendedoronline
#liberdadefinanceira #áudiolivro
#sejarico #mulheresdenegócios #milionária
#jovemerico https://t.co/oAYp25D97W</t>
  </si>
  <si>
    <t>rebeliaocryptos
Por que o Bitcoin é sensacional?
https://t.co/rfbrNlq2H2 via @YouTube
#Bitcoin #ethereum #binance #mercadobitcoin
#criptomoedas #liberdade #liberdadefinanceira
#Brasil #Flamengo #riqueza #otopatamá</t>
  </si>
  <si>
    <t>flaviam14759869
Arquétipo: é um conceito da psicologia
utilizado para representar padrões
de comportamento associados a um
personagem ou papel social. A mãe,
o sábio e o herói são exemplos
de arquétipos. #liberdadefinanceira</t>
  </si>
  <si>
    <t>puneetkohli1979
#finance #liberdadefinanceira #personalfinance
#mercadofinanceiro #finances #educacaofinanceira
#independenciafinanceira #planejamentofinanceiro
#refinance #sucessofinanceiro https://t.co/93yAcgAtic</t>
  </si>
  <si>
    <t>se_empreendedor
A liberdade financeira é uma das
grandes motivações para se tornar
um empreendedor: planejamento financeiro,
diversificação e resiliência. #movaseempreendedor
#empreender #liberdadefinanceira
https://t.co/JF0v57p4rG</t>
  </si>
  <si>
    <t>ailtonrocha21
💎 Porque coisas ruins acontecem
com pessoas boas? 🔶️Filme: Frank
vs. God 🎬 DM para crédito ou pedido
de remoção (sem intenção de copyright)
©️ All rights and credits reserved
to the respective owner(s). #liberdadefinanceira #motivacao24h #fé
https://t.co/4cS5Ol1mFq</t>
  </si>
  <si>
    <t>joanadarcdocar1
#Repost @cassius.stauffer Vídeo
antigo já prevendo a soltura de
mais um corrupto. #liberdadefinanceira
#rendavariavel #rendapassiva #educacaofinanceira
#investimento #independênnciafinanceira
#economia #criptomoedas #motivação
#atualidades #desenvolvimentopessoal
https://t.co/dlIvPSdHch</t>
  </si>
  <si>
    <t xml:space="preserve">cassius
</t>
  </si>
  <si>
    <t>tradedorkpt
Sua jornada para o sucesso não
termina na mesa de trading. Almeje,
trabalhe duro, e a liberdade virá
a seguir. 📈🔒🗝️ #Tradedork #ForexTrading
#LiberdadeFinanceira #AprendaTrading
#DesbloquearLiberdade https://t.co/IRe4v12b96</t>
  </si>
  <si>
    <t>7t_alex
💞🙏 . . E-book top sobre importação
de camisa de time Tailândesas 1:1
Link na bio ☝☝☝☝☝☝ #espiritosanto
#vendasonline #marketingdigital
#liberdadefinanceira #motivação
#futebol #time #foco #motivacao
#objetivo #viverdeinternet #viverdevendas
#importação #dji #drone # https://t.co/FUfYQ7TQ61</t>
  </si>
  <si>
    <t>xzibank
💸 Desbloqueie seu potencial de
investimento com a XZIBank. Baixe
nosso aplicativo agora e desfrute
de liberdade financeira e oportunidades.
#XZIBank #LiberdadeFinanceira #Economia</t>
  </si>
  <si>
    <t>exnova_pt
Katia Abreu nos encoraja a acreditar
em nossos sonhos. Você está sonhando
com sua liberdade financeira? Comece
hoje sua jornada para tornar seus
sonhos realidade com a Exnova!
💫 Siga o link 👉 https://t.co/FW6eUfs6ln.
_ #Exnova #SonheGrande #KatiaAbreu
#LiberdadeFinanceira https://t.co/YRruwaJ2kw</t>
  </si>
  <si>
    <t>moisesliins
💸 Aproveite essa oportunidade
única! Acesse agora: https://t.co/DmHlVCx6hZ
. #VendaSemAparecer #NegócioOnline
#LiberdadeFinanceira</t>
  </si>
  <si>
    <t>santoscancio
Para palestras e treinamentos -
acesse https://t.co/aJVlshWR0s
#eleicoes #investimentos #dinheiro
#bolsadevalores #investimento #mercadofinanceiro
#finan #empreendedorismo #investir
#liberdadefinanceira #sucesso #rendaextra
#economia #educacaofinanceira #investidor
# https://t.co/QIVUemvUal</t>
  </si>
  <si>
    <t>tainanzin___
E ae? . #frasesdodia #frasesmotivacionais
#frasesreflexivas #motivacao #mentalidademilionaria
#futurosmillonarios #jovensdesucesso
#sucessonavida #acrediteemvoce
#mentalidadeempreendedora #liberdadefinanceira
https://t.co/8kkpdZeNpu</t>
  </si>
  <si>
    <t>criptobtc_
Vitalik Buterin, co-fundador do
Ethereum, vê o Bitcoin como uma
ferramenta de liberdade e uma forma
de moeda verdadeiramente neutra
e global. #Bitcoin #VitalikButerin
#Criptomoedas #Política #LiberdadeFinanceira
#Digitalização #MoedaGlobal #Blockchain
#Inovação #Futuro https://t.co/IC7PJ3pnph</t>
  </si>
  <si>
    <t>godisahodler
@EduardoGomesTO Atenção #Bitcoiners
e amantes de #cripto! O senador
está planejando aumentar as taxas
de #criptomoedas, sufocando a inovação
e a liberdade financeira. Se você
valoriza o futuro descentralizado,
pense duas vezes antes de dar seu
apoio a esse senador #LiberdadeFinanceira</t>
  </si>
  <si>
    <t xml:space="preserve">eduardogomesto
</t>
  </si>
  <si>
    <t>modelodevida_
"Criar hábitos saudáveis ​​de finanças
é crucial para alcançar a liberdade
financeira. #finanças #liberdadefinanceira
#habitos"</t>
  </si>
  <si>
    <t>alessan87651124
#oportunidades #rendaextra #liberdadefinanceira
#horariosflexiveis #praticidade
#comodidade #realizacoesprofissionais
#treinamentos #lucros #vantagens
#saudefinanceira #alimentacaosaudavel
#crescimentopessoal #crescimentoprofissional
#vantagens #viagens https://t.co/QL9A4TWo3r</t>
  </si>
  <si>
    <t>fuvirbrasil
Vem pra Fuvir! 🔗 Link na biografia
para explorar o poder do Fuvir!
Junte-se ao movimento e liberte
seu verdadeiro potencial! 💪💼
#OportunidadesDeInvestimento #PoderDoNetworking
#VidaDeEmpreendedor #LiberdadeFinanceira
#CriadoresDeConteúdo #GestãoDeEquipe
#RedeGlobal https://t.co/VEgbhXy2RX</t>
  </si>
  <si>
    <t>henriquemg
📈 Café com Bolsa ☕📊 02/01/23
#liberdadefinanceira #educacaofinanceira
#cafecombolsa https://t.co/NHRhhGAU4n</t>
  </si>
  <si>
    <t>henrique_soussa
🚀 Quer impulsionar sua carreira
no mundo do #MarketingTips Digital?
🌐#suceso #liberdadefinanceira
comece sua jornada no mundo emocionante
do #MarketingDigital Digital! AULA
GRATUITA LINK:https://t.co/d8Ci81mr6Z
https://t.co/EDoRhdvERJ</t>
  </si>
  <si>
    <t>cortesreiratao
Voce NUNCA vai ficar rico enquanto
vender sua hora! 🐀 #blackrat #marketingdigital
#empreender #liberdadefinanceira
#afiliados #hotmart #prosperidade
https://t.co/KWuq2eY0ow</t>
  </si>
  <si>
    <t>dparainvestidor
093/365 | O 5º Princípio da #TeoriaDeDow
é "toda tendência é confirmada".
Uma andorinha sozinha não faz verão…
#analisetecnica #daytrade #swingtrade
#scalptrade #dinheiro #investimento
#mercadosfinanceiros #liberdadefinanceira
#desenvolvimentopessoal #dividendos
https://t.co/XzcvdZ7SEj</t>
  </si>
  <si>
    <t>moneyraio
Você deseja ser dono do seu dinheiro?
Conhece o #Bitcoin? Se já tem alguns
#Satochis de Bitcoin, parabéns
você é dono do seu próprio dinheiro.
Se ainda não tem, nem conhece...
Pare de perder tempo. #BTC #dolar
#Real #mercadofinaceiro #liberdadefinanceira
#financas #investimento https://t.co/eRTbJn7O2m</t>
  </si>
  <si>
    <t>azizbasry
Brain Evolution System! https://t.co/jiYvvsKR5E
#job #jobs #agencylife #seo #socialmedia
#marketing #marketingagency #googleads
#digitalmarketing #socialmediatips
#finance #liberdadefinanceira #finances
#mercadofinanceiro #personalfinance
#financetips</t>
  </si>
  <si>
    <t>roseperiodista
#Liberdadefinanceira #liberdadegeografica
#mercadodigital #go https://t.co/FjzC4gDBjr</t>
  </si>
  <si>
    <t>ciowomenmag
5 Financial Mistakes that Will
Cost You Big To be honest, we all
make errors. What matters most,
though, is how we learn from them.
That being said, there are a few
typical blunders. Read More: https://t.co/5wM2TUZS5T
#finance #liberdadefinanceira #personalfinance
#finances https://t.co/vJeUVqfyIW</t>
  </si>
  <si>
    <t>organico27643
SLK, não pode ,orgânico e vida
#liberdadefinanceira #sucesso #empreendedorismo
https://t.co/lA5qIinCn6</t>
  </si>
  <si>
    <t>itaboraisantos
Acesse: https://t.co/lC3obLeEUd
#Investimentos #liberdadefinanceira
#trader #empreendedorismo #empreendedorismodigital
#empreendedordesucesso #estrategia
#estrategiasdemercadeo #persistencia
#consistencia #sucesso #qualidadedevida
#miamibeach #bmfbovespa #forex
#sucesso https://t.co/bQ20ShlPfA</t>
  </si>
  <si>
    <t>blackhatpt
Com a tecnologia e a internet cada
vez mais presentes em nossas vidas,
ganhar dinheiro online se tornou
uma opção cada vez mais popular.
#ganhardinheiroonline #trabalhoemcasa
#liberdadefinanceira https://t.co/zCz6SRoycY</t>
  </si>
  <si>
    <t>tomeacao
@FelipeTadewald Pequenos investimentos
levam a grandes mudanças. Celebre
cada passo rumo à liberdade financeira.
Cada grão conta. #LiberdadeFinanceira</t>
  </si>
  <si>
    <t xml:space="preserve">felipetadewald
</t>
  </si>
  <si>
    <t>marcia23403
Desvendando o Papel da Psicanálise
#Liberdade #liberdadefinanceira
#liberdadesp #liderança https://t.co/SIKVL83Vvc</t>
  </si>
  <si>
    <t>vander74752
#Marketing #lifestyle #liberdadeFinanceira
https://t.co/0KyCctnrtZ</t>
  </si>
  <si>
    <t>leoprioficial
Você sabe o que é Marketing de
Rede e conhece seus benefícios?
Leia nossa 1ª postagem semanal
👇 https://t.co/5S2bJmtLHg #marketingderede
#marketingmultinivel #mmnbrasil
#negocios #robertkiyosaky #donaldtrump
#rendapassiva #rendaresidual #liberdadefinanceira
#empreendedorismo https://t.co/5k7LF6Bz9K</t>
  </si>
  <si>
    <t>dilianesilva5
DESCUBRA COMO CRIAR UM VENDEDOR
ANÔNIMO QUE VAI TRABALHAR PARA
VOCÊ 24 HORAS POR DIA, SEM PEDIR
SALÁRIO E FÉRIAS VEM MUDAR SUA
VIDA TAMBÉM. #jornada2x #GPA #CAIOCALDERARO
#liberdadefinanceira #ganhanainternet
CLIQUI AQUI https://t.co/fyDnOKwQBu
https://t.co/Vna9iLSfb4</t>
  </si>
  <si>
    <t>caminhodoinves1
Criar pessoas que dependem de uma
fonte de rendimento e mais tarde
de subsídios é criar escravos modernos.
#rendimentos #escravos #liberdadefinanceira</t>
  </si>
  <si>
    <t>rvgrande
#liberdadeFinanceira https://t.co/4X4U1fxwqR</t>
  </si>
  <si>
    <t>fatos_pro
https://t.co/lxR3zC5PbO Segredo
do sucesso planejamento a longo
prazo para vencer a ansiedade #comotersucessonavida
#marktingdigital #comoganhardinheironainternet
#segredodosucesso #liberdadefinanceira</t>
  </si>
  <si>
    <t>conq_liberdade1
O que acham? Concordam? #Liberdadefinanceira
https://t.co/cDLqnr6gg9</t>
  </si>
  <si>
    <t>mostbillion
Eu também não! E você? A liberdade
financeira é alcançada através
de educação financeira, disciplina
e perseverança. Não é necessário
ir para a faculdade para alcançá-la.
#liberdadefinanceira #educaçãofinanceira
#disciplina #perseverança #faculdade
#educação #investimento https://t.co/gNKp6sSVmj</t>
  </si>
  <si>
    <t>igor_vieiraa
Investir com sabedoria é a chave
para a liberdade financeira! No
último mês, ganhei mais de R$2.400
em dividendos, deixando o dinheiro
trabalhar para mim. Uma jornada
incrível rumo à prosperidade! #Investimentos
#Dividendos #LiberdadeFinanceira
💰🚀 https://t.co/hJDw9JMBxe</t>
  </si>
  <si>
    <t>afun_to_earn
Pintou aquela vontade de se divertir
apostando nos melhores jogos online?
Vem dar green na Afun e lucrar
muito! Tá esperando o quê?https://t.co/JvHkDHlyiT
e boa sorte! #diversão #rendaextra
#jogosonline #liberdadefinanceira
https://t.co/5xd9TThet0</t>
  </si>
  <si>
    <t>moneeynahora
"Transforme suas ideias em ouro
💰✨! Descubra o caminho para o
sucesso financeiro e liberdade
com #GranaTurbo. Não espere, ative
o modo de prosperidade agora mesmo!
💸🚀 #Dinheiro #Sucesso #LiberdadeFinanceira"
https://t.co/Im7dsGMTtb</t>
  </si>
  <si>
    <t>_oiisaias
#Investimentos #MercadoFinanceiro
#LiberdadeGeográfica #LiberdadeFinanceira
#Oportunidades #Crescimento #Prosperidade
#Conhecimento #EducaçãoFinanceira
#TrabalhoRemoto #Flexibilidade
#Persistência #IndependênciaFinanceira
#RealizaçãoDeSonhos #ApoioProfissional</t>
  </si>
  <si>
    <t>netorebello1
Você já se perguntou como seria
ter liberdade financeira e realizar
seus sonhos? Descubra como os investimentos
podem te ajudar a chegar lá! 💰✨
#Investimentos #LiberdadeFinanceira
https://t.co/UxaU6GTq8y</t>
  </si>
  <si>
    <t>esp_de_negocios
E você já está no caminho certo?
Comente abaixo 👇 #mentalidademilionária
#focoedisciplina #liberdadefinanceira💰
#pazmental #milionarios https://t.co/5kjbVzDSYb</t>
  </si>
  <si>
    <t>pawealthh
50% for needs, 20% for savings
and debt, 30% for wants. Get in
Touch: @PARASBEHL7 Explore our
expertise in: Stocks | PMS | AIF
| Mutual Funds | Startup Investments
#finance #liberdadefinanceira #personalfinance
#mercadofinanceiro #finances #educacaofinanceira
#ipo #refinance https://t.co/n8mNzOb2w8</t>
  </si>
  <si>
    <t xml:space="preserve">parasbehl7
</t>
  </si>
  <si>
    <t>estrang_invest
veja o post completo no instagram:
https://t.co/JxIpzG965Q #Empreendedorismo
#Negócios #IndependênciaFinanceira
#PotencialDeGanhos #LiberdadeFinanceira
#RealizaçãoPessoal #ControleFinanceiro
https://t.co/CXxNJXnUhK</t>
  </si>
  <si>
    <t>pedromar1no
Te ensino a faturar apenas com
seu 📲 #viral #sucesso #empreendedorismo
#liberdadefinanceira https://t.co/B6ZPjmG1lz</t>
  </si>
  <si>
    <t>poetisajoana
Boa noite! Bom descanso! @pensadoroficial
#vida #vidaquesegue #vidalivre
#liberdade #liberdadefinanceira
#liberdadedeexpressão #liberdadeemocional
em Cariri https://t.co/2yGJ39tms3</t>
  </si>
  <si>
    <t xml:space="preserve">pensadoroficial
</t>
  </si>
  <si>
    <t>raineliprado
Empreenda! 💵 Seja uma revendedora
e tenha liberdade financeira ao
seu alcance 😍💰 Nos chame e saiba
mais 👇🏼 #revenda #revendedoras
#empreendedorismofeminino #empreendedora
#liberdadefinanceira em Gravataí
https://t.co/zQHaThr9i0</t>
  </si>
  <si>
    <t>juliocrrf
Domine suas finanças com disciplina
e determinação. Crie um planejamento
financeiro sólido e garanta sua
tranquilidade financeira💪💸 Você
consegue! Faça boas escolhas! #ControleFinanceiro
#FinançasPessoais #OrganizaçãoFinanceira
#LiberdadeFinanceira #Orçamento</t>
  </si>
  <si>
    <t>hmotivationmz
Se voce nao sonha, você não existe!
Você pode realizar todos seus sonhos.
"Pense" If you don't dream, you
don't exist! You can achieve all
your dreams. "THINK" #Liberdadefinanceira
#sucesso #MarketingDifgital #educacaofinanceira
#business https://t.co/dzR5av43XW</t>
  </si>
  <si>
    <t>mercadosemmedo
"A independência financeira é a
capacidade de fazer escolhas sem
ser limitado pelo dinheiro." -
Jean Chatzky #investimentos #independenciafinanceira
#rendapassiva #ibovespa #foco #disciplina
#consistencia #intencionalidade
#dinheiro #liberdadefinanceira</t>
  </si>
  <si>
    <t>paulinorsantos
Venha para o Fórmula Negócio Online
é conquiste sua liberdade financeira
Saiba mais no link https://t.co/ZBAODPS7UE
#liberdadefinanceira #rendaextra
#formulanegocioonline https://t.co/2rMl9jPxWF</t>
  </si>
  <si>
    <t>anapregis
Vem começar o dia bem informado.
#investidor #dinheiro #investimento
#news #noticia #investidores #saopaulo
#mercadofinaceiro #daytrade #economia
#brasil #liberdadefinanceira #assessoria
#btg #bolsadevalores #brasil #sp
#btg https://t.co/GugDI5UlY5</t>
  </si>
  <si>
    <t>brunossm
As vezes precisamos parar e nos
perguntar a origem dos nossos desejos
e a onde queremos chegar. Só assim
você perceberá se há sentido nessa
trajetória, e portanto, tomará
as melhores decisões para uma vida
inteira e não apenas para esse
momento fugaz. #liberdadefinanceira</t>
  </si>
  <si>
    <t>maemarketeiraa
Liberdade financeira é nome.. Sem
sair de casa, sem aparecer e sem
postar absolutamente nada. Vamos
viver o extraordinário? Me chama
que rinite ajudo! Se você não luta
pelo futuro que quer, tem que aceitar
o que vier. #MarketingDigital #liberdadefinanceira
https://t.co/CGjGlsGDpq</t>
  </si>
  <si>
    <t>bitfinexpor
@bitfinex @MyfirstBitcoin_ Incrível
o trabalho que a Bitfinex vem realizado
em El Salvador! #LiberdadeFinanceira
só é verdadeira em #Bitcoin!</t>
  </si>
  <si>
    <t xml:space="preserve">myfirstbitcoin_
</t>
  </si>
  <si>
    <t xml:space="preserve">bitfinex
</t>
  </si>
  <si>
    <t>leaodocarnaval
Vou me sentir um pequeno burguês
capitalista quando tiver de pagar
28% de irs sobre os meus loucos
8 euros de lucros em dividendos
do ano passado. #Portugal #liberdadefinanceira
#bolsadevalores #thedividendladder</t>
  </si>
  <si>
    <t>web3pt
Inclusão Financeira A Web3 pode
fornecer acesso a serviços financeiros
a pessoas que não têm acesso a
sistemas financeiros tradicionais.
#liberdadefinanceira</t>
  </si>
  <si>
    <t>galaoda13
A favela venceu?#liberdadefinanceira
#rendavariavel #rendapassiva #educacaofinanceira
#investimento #independênnciafinanceira
#economia #criptomoedas #motivação
#atualidades #desenvolvimentopessoal
#desenvolvimentoprofissional #empreendedorismo
#utilidadepública https://t.co/zH0X9TVSyp</t>
  </si>
  <si>
    <t>arthurvallephd
Como anda teu plano para #aposentadoria
(antecipada, se possivel)? #FIRE
#investimentos #independenciafinanceira
#liberdadefinanceira</t>
  </si>
  <si>
    <t>carlosteles__
"O futuro é construído pelas escolhas
de hoje, e cada passo ousado é
um tijolo na estrada do sucesso."
#liberdadefinanceira #sucesso</t>
  </si>
  <si>
    <t>cludiamarq69376
A liberdade financeira não é um
destino, é uma jornada. Não percas
mais tempo e começa já hoje a tua.
— Comenta “ eu “ que irei explicar-te
como. 🚀 #foryou #marketingdigital
#rendaextra #afiliada #liberdadefinanceira
#liberdadegeografica #vendas #mulheresempoderadas
#sonhos https://t.co/XkS4J5HNSJ</t>
  </si>
  <si>
    <t>maycomprei
E se der certo?? Tá c roupa pra
isso❣️🍇 #liberdadefinanceira https://t.co/MAQNqtUDbb</t>
  </si>
  <si>
    <t>explibertario
O povo está acordando para o fato
de que comprar #Bitcoin é a melhor
maneira de proteger o seu dinheiro.
#Investimentos #Criptomoeda #Finanças
#Sucesso #LiberdadeFinanceira</t>
  </si>
  <si>
    <t>investfrugal
"Poupa como um pessimista. Investe
como um optimista" - Morgan Housel
#poupar #investir #investimentos
#longoprazo #finançaspessoais #financaspessoais
#dinheiro #bolsa #liberdadefinanceira
#habitosfinanceiros #sucesso #mentalidade
#frugalidade</t>
  </si>
  <si>
    <t>atlanticbank_
💰💻🙌 Atlantic Bank é a liberdade
financeira na palma das suas mãos!
🚀🌟 Com a gente, você está preparado
para qualquer situação, seja para
se divertir ou lidar com imprevistos.
#banco #bancoonline #liberdadefinanceira
#tudonamão #imprevistos #diversão
#atlanticbank https://t.co/WRsGsizpfc</t>
  </si>
  <si>
    <t>crisspellegrin
Viver é melhor que sonhar! #viver
#carreira #mentoriadecarreira #liberdadefinanceira
#crisspellegrin</t>
  </si>
  <si>
    <t>neoinconstrucao
Rumo a liberdade financeira: Reflita
e anote todos os seus gastos. O
segredo para poupar está na organização
de entradas e saídas do seu dinheiro.
Esta é uma dica simples, mas que
faz toda diferença. #neoin #dicasdeinvestimentos
#liberdadefinanceira</t>
  </si>
  <si>
    <t>evovee_
“Hire From Anywhere”. 80% dos profissionais
brasileiros estão interessados
​​em trabalhar remotamente. 60%
das empresas já oferecem opções
de trabalho remoto. As oportunidades
vão surgir, mas a pergunta certa
é, você está preparado? #VemSerEvovee
#liberdadefinanceira 👨‍💻👩‍💼🚀
https://t.co/UYtGbKcl19</t>
  </si>
  <si>
    <t>rafaelamorimofc
Vire um fantasma. Clica no link
da bio para aprender a fazer dinheiro
na internet usando apenas seu celular💰📲
. . . . . #dicas #comoganhardinheiro
#dinheiro #marketingdigital #afiliadosiniciantes
#empreendedorismo #liberdadefinanceira
#rendaextra #rendaextra https://t.co/trN3EIf1O1</t>
  </si>
  <si>
    <t>hailsonmkt37825
#ganhedinheiroextra #trabalheondequiser
#trabalheemcasa #marketingdeafiliados
#dinheiroonline #dinheironainternet
#rendaextra #oportunidade #liberdadefinanceira
#sucesso https://t.co/QK4eokXM7f</t>
  </si>
  <si>
    <t>sejabimanager
Mas não podemos nos guiar somente
por altas iniciais. É preciso entender
o propósito do projeto. #eliminacao
#realitycripto #bimanager #criptomoeda
#bitcoin #criptoeconomia #liberdadefinanceira
#mundocripto #locacaodeativosdigitais</t>
  </si>
  <si>
    <t>traiderptraider
A nova era começou. Escolha o lado
certo, antes que seja tarde. https://t.co/jHCeCA2AM7
#liberdadefinanceira #proteja-se
#família #sistema #matrix #investimento
#analise #criptomoeda #altcoins
#sucesso #liberdade #vida #riquesa
#btc #eth #conquista https://t.co/0KldG1fWoZ</t>
  </si>
  <si>
    <t>ataorienta
#mercadodeopções #derivativos #investimentos
#educaçãofinanceira #finanças #prosperidade
#prosperidadefinanceira #liberdadefinanceira
#macroeconomia #bolsadechicago
#mercadoamericano</t>
  </si>
  <si>
    <t>rodrigo_itaya
O medo literalmente é um fator
crucial para as maioria das pessoas
conseguirem dar os primeiros em
direção a Liberdade Financeira.
#liberdadefinanceira #medo #empreendedorismo
https://t.co/Tlab7p9UFd</t>
  </si>
  <si>
    <t>r2premiumnegoci
#aumentescore #7dias #liberdadefinanceira
#oportunidades #estrategiacomprovada
#pontuacao #emprestimos #financiamentos
#cartoesdecredito #melhorescondicoes
#futurofinanceiro #acelereseuscore
#umasemana #conquistesuavida</t>
  </si>
  <si>
    <t>andradex
Concordas com o #robertkiyosaki
? #liberdadefinanceira #quadrantedodinheiro
https://t.co/PFSIstIPIG</t>
  </si>
  <si>
    <t>brinainvest
Pensando em comprar uma casa nos
Estados Unidos? Acessibilidade
e taxas de juros indicam que o
momento não é ideal para comprar.
#finanças #liberdadefinanceira
https://t.co/tr7XSWgzXn</t>
  </si>
  <si>
    <t>lucaspereira_ef
Fundos imobiliários que custam
menos de 10 R$! https://t.co/7Xpjlgahck
via @YouTube #fii #fundosdeinvestimento
#dividendos #aposentadoria #liberdadefinanceira
#dinheiro</t>
  </si>
  <si>
    <t>jotavela
Não há sensação melhor do que ter
todas as dívidas pagas e sentir
a liberdade financeira! 💰💸🙌
Pena que não é o meu caso! #liberdadefinanceira
#vidafinanceira #dinheiro #felicidade
#gratidão https://t.co/E9okdORKjb</t>
  </si>
  <si>
    <t>mentemillionar
Confira o vídeo de mente__millionaria__!
#TikTok https://t.co/HqiCWqh5a1
#frasesdodia #frasesmotivacionais
#frasesreflexivas #motivacao #mentalidademilionaria
#futurosmilionarios #jovensdesucesso
#sucessonavida #acrediteemvoce
#mentalidadeempreendedora #liberdadefinanceira</t>
  </si>
  <si>
    <t>iberezanski
💰 A jornada para uma vida financeiramente
tranquila e segura é um processo
contínuo. A paciência e persistência
devem fazer parte de seus esforços
para alcançar seus objetivos. #objetivos
#financaspessoais #planejamentofinanceiro
#liberdadefinanceira #dicasfinanceiras</t>
  </si>
  <si>
    <t>lucassi73345017
Siga-me para ter uma liberdade
financeira 🧠💸 #viral #lifestyle
#dinheiro #LIBERDADE #sucesso #Prosperity
#liberdadefinanceira https://t.co/B5EqZjQKmJ</t>
  </si>
  <si>
    <t>wagnergeremia
Como o juros afeta seu banco digital?
E sua vida? https://t.co/5vOAeTWBVM
#wagnergeremia #ondeinvestir #educaçãofinanceira
#debentures #bolsadevalores #tesourodireto
#patrimonio #liberdadefinanceira
#copom #selic #bacen #inflation
#inflacao #juros #dinheiro</t>
  </si>
  <si>
    <t>seiacoes
Investindo em ações para longo
prazo com o objetivo de alcançar
a liberdade financeira, p/ poder
desfrutar mais vezes de viagens
para lugares especiais como esse.
#liberdadefinanceira #Investimentos
#longoprazo #BuyAndHold #rendavariavel
#investindocomestrategia #pequenosocio
https://t.co/Hpa8wjNZXQ</t>
  </si>
  <si>
    <t>linearpay
Eficiência, moralidade e equilíbrio.
Esses são os pilares da economia
saudável e democrática. Saiba mais:
https://t.co/1YCZKCH6vK #Criptomoedas
#EconomiaSaudável #LiberdadeFinanceira
#economia #moralidade #distribuiçãoderecursos
#doações #sobrevivência #satisfaçãoindividual
https://t.co/pQHL5Qc57z</t>
  </si>
  <si>
    <t>francelmc
Busque a independência financeira
e conquiste a liberdade de realizar
seus sonhos ✨ #fmc #escritoriofmc
#francel #educaçãofinanceira #liberdadefinanceira
#sonhos https://t.co/8r7FQalB6z</t>
  </si>
  <si>
    <t>palmezanip74904
Traveling and operating.📊💻 Knowing
that I can take my work with me
anywhere (with internet lol) I
go is amazing! But let's go slowly...
I don't live the philosophy of
#lifetrader trade from the beach.
#mercadofinanceiro #bolsadevalores
#investimentos #liberdadefinanceira
https://t.co/xFS3POcvg9</t>
  </si>
  <si>
    <t>almepoupa
7. Pague suas dívidas: Reduza o
endividamento, evitando gastos
com cartões de crédito e outros
empréstimos. Se você já está endividado,
priorize o pagamento das dívidas
para reduzir juros e multas. #liberdadefinanceira</t>
  </si>
  <si>
    <t>murilo_business
Vem que eu te ensino, link na bio
🤑💸 #rendaextra #MarketingDigital
#liberdadefinanceira #sucesso #empreendedorismo
https://t.co/rPqOT0XI3C</t>
  </si>
  <si>
    <t>pense_rico
Façam seus estudos e me siga para
entender mais A live está no link
da bio! VAGAS ABERTAS NA MINHA
MENTORIA E MINHA FORMAÇÃO ✅ Aulas
ao vivo ✅ Melhores criptos para
fazer 1000% Link na bio ou escreva
EU QUERO #investir #criptomoeda
#bitcoin #liberdadefinanceira</t>
  </si>
  <si>
    <t>milionaria_br
Aprenda hoje a ganhar dinheiro
trabalhando em casa usando apenas
o seu celular! Comenta "EU QUERO".
. . . #MarketingDigital #empreendedorismofeminino
#rendaextra #afiliada #empresas
#liberdadefinanceira #MONEY</t>
  </si>
  <si>
    <t>shopforyo_u
#ondecomprar #financialplanning
#liberdadefinanceira Compre aqui
↘ ↘ https://t.co/RWzbx1Wki7 https://t.co/fZaizPFn7N</t>
  </si>
  <si>
    <t>jvaspawn
#DiversificaçãoEmAção #Investimentos
#lucros #ganhedinheiroonline #liberdadefinanceira
#fériasparasempre</t>
  </si>
  <si>
    <t>rauf_rafael
Liberdade Financeira 🚀🚀 #milionaire
#luxurylifestyle #business #Mindset
#liberdadefinanceira https://t.co/6xBckQcNgv</t>
  </si>
  <si>
    <t>abelsil83615535
💪🧠 #reels #motivacao #podcast
#empreendedorismo #marketingdigital
#plr #infoprodutos #motivação #liberdadefinanceira
#dinheiro #sucesso #sucessoprofissional
#sucessofinanceiro #mercadodigital
https://t.co/GgbwqMM2kl</t>
  </si>
  <si>
    <t>doloresampaio
Com #Zcash não preciso de asas
para me sentir livre. $Zec #LiberdadeFinanceira
https://t.co/BqcbjPud6c</t>
  </si>
  <si>
    <t>shelby_alpha__
Feliz dia das mulheres com uma
dose de realidade 💊 #DiaInternacionalDaMulher
#mulherdevalor #feminismo #feminista
#prosperidade #investimento #felicidade
#sonhos #hotmart #desenvolvimentopessoal
#liberdadefinanceira #oportunidade
#gratidao #paz #frases #bomdia
#s https://t.co/WogI8mDRDT</t>
  </si>
  <si>
    <t>wcost97
A liberdade financeira é o sonho
de todos. É possível alcançá-lo
com foco, disciplina e planejamento.
#LiberdadeFinanceira #Dinheiro
#Sucesso</t>
  </si>
  <si>
    <t>oadrielcardoso
💰🌱 Investir com sabedoria e disciplina
é o caminho para conquistar a #IndependênciaFinanceira
e abrir as portas para a liberdade
de viver a vida dos seus sonhos.
💼✨ #Investimentos #DisciplinaFinanceira
#LiberdadeFinanceira #VidaDosSonhos
#RotaDosMilhões</t>
  </si>
  <si>
    <t>leocarvalho_mkt
Minha Carteira Número Um - Turma
4 Professor Mira Me Poupe! Descubra
como identificar as oportunidades
para investir com segurança https://t.co/jDuZAcrjjB
#MCN1valor #MCN1 #minhacarteiranumerohotmart
#cursorendavariável #mcn1mira #liberdadefinanceira</t>
  </si>
  <si>
    <t>financer_ibraim
Social media manger expert❤️ #manger
#socialmedia #finance #liberdadefinanceira #personalfinance #mercadofinanceiro #finances #educacaofinanceira #independenciafinanceira  #refinance #sucessofinanceiro #financeiro #financetips #CanadasBestEmployers
#Italy #UnitedStates https://t.co/r8U6z0CJpr</t>
  </si>
  <si>
    <t>ocanalinvesti
💸💰 Famoso efeito bola de neve
☃️ Comenta aqui se você já está
disfrutando do efeito bolada de
neve ... . . . . . . . . . . Repost:
@ pedrovguedes . #dividendos #rendapassiva
#proventos #fii #agf #barsi #buyandhold
#liberdadefinanceira #mxrf11 https://t.co/4E7bCmCEp9</t>
  </si>
  <si>
    <t>mtrotciv
Em quantas armadilhas caímos todos
os dias! Queremos pertencer a sociedade,
e não pensamos em consequências!
Pense entes de gastar! #educacaofinanceira
#dinheiro #finanças #financaspessoais
#sucessofinanceiro #inteligênciafinanceira
#liberdadefinanceira #sucesso #planejamento
https://t.co/fiN2zsbLn2</t>
  </si>
  <si>
    <t>ancapgpt
É claro que não queremos políticos
corruptos e governos abusivos controlando
nossas vidas. Compre bitcoin e
monero no link https://t.co/qKZz1KPksx
e experimente a liberdade financeira
que você merece! #AncapGPT #Bitcoin
#Monero #LiberdadeFinanceira</t>
  </si>
  <si>
    <t>economedicos
Bom dia investidores! O feriado
nos EUA retira liquidez dos mercados
que amanhecem levemente positivos
#Economedicos #Finanças #Financas
#FinancasPessoais #LiberdadeFinanceira
#Economia E hoje? Quem vence? Medo
ou ganância?</t>
  </si>
  <si>
    <t>heltonarcanjo2
➡ Bora faturar dinheiro 💵 de forma
justa, rápido, e o melhor de tudo
no conforto da sua casa apenas
com o seu celular 👉📱 ➡ Saiba
que isso é mais do que possível!
➡ Só depende de você! #liberdadefinanceira
#mulheres #mulher #inspiração #motivação
#maternidade #sucesso #renda https://t.co/Gi0T3z5KEz</t>
  </si>
  <si>
    <t>sageousthoughts
Can anyone tell me how can i learn
more about finance? #finance #liberdadefinanceira
#personalfinance #mercadofinanceiro
#finances #educacaofinanceira #independenciafinanceira
#planejamentofinanceiro #refinance
#sucessofinanceiro #financeiro
#financetips #inteligenciafinanceira</t>
  </si>
  <si>
    <t>investimentoob1
Especialistas em Investimentos
Clique no Link da BIO #EspecialistasDeInvestimentos
#investimentoobjetivo #LiberdadeFinanceira
#Aposentadoria #GestãoFinanceira
#Investimentos https://t.co/VhICixkQSG</t>
  </si>
  <si>
    <t>bybot_roboo
faz um ano que ByBot começou a
atuar ativamente no mercado de
arbitragem de criptomoedas. Desde
então, conseguimos ajudar milhares
de pessoas a conquistarem a tão
desejada liberdade financeira!
*-* #investimento #Bybot #Criptomonedas
#LiberdadeFinanceira https://t.co/LDVyIBk9vX</t>
  </si>
  <si>
    <t>juninhobraguim
Dia da caça e dia do caçador, +1
dia top, avante galera ! Win #fintwit
#ibov #bova11 #viverderenda #liberdadefinanceira
https://t.co/Qyz2lSJXd9</t>
  </si>
  <si>
    <t>diegoskda
#neg #lideran #mktdigital #digital
#follow #trabalho #art #m #mulheresempreendedoras
#instagood #as #liberdadefinanceira
#empresa #moda #empreendertransforma
#contabilidade #f #cios #investimentos
#photography #es #coaching #marketingdigitalbrasil
#oportunidade #empreendedora https://t.co/9QkJXXa35n</t>
  </si>
  <si>
    <t>flavmartiins
Já pensou em trabalhar com essas
Marcas? Faço vendas todos os dias
com essas marcas sem investir.
Quer aprender como? https://t.co/ufvZsDMTU0
#ondecomprar #marketingjobs #rendaextra
#liberdadefinanceira https://t.co/eWY9afmO9n</t>
  </si>
  <si>
    <t>cleucianesousa
Clica na opção Bitcoin pra criar
a carteira e anota em papel as
palavras-chave que vão aparecer.
Não perca!! Daqui alguns anos vc
lembra de me agradecer kkkkkkkkkk
Qqr dúvida de como instalar, qqr
pix simbólico de 20 conto, eu ensino
direitinho. #btc #liberdadefinanceira</t>
  </si>
  <si>
    <t>guardardinheir1
E aí você é rico? Confira quanto
você precisa ganhar para estar
entre os 10% mais rico do seu estado.
Confira em nosso site os melhores
investimentos do momento 👇 https://t.co/G3Nf3LKIA5
Bitcoin Bradesco Todes #liberdadefinanceira
#independenciafinanceira #sucesso
https://t.co/E2ZMx1tfXy</t>
  </si>
  <si>
    <t>lucianfreirepro
A forma como você pensa sobre o
dinheiro pode ser um obstáculo
para alcançar a riqueza que deseja.
Mude sua mentalidade em relação
ao dinheiro e se tornará uma pessoa
próspera e bem-sucedida. 🔥🚀 #educacaofinanceira
#liberdadefinanceira #mentepositiva
#mentalidadederiqueza</t>
  </si>
  <si>
    <t>tamoneyoficial
🚨Invista em você!!!💰💰💰💰 #euquero
#liberdadefinanceira</t>
  </si>
  <si>
    <t>futurizando_
Você vai se tornar uma pessoa extremamente
bem sucedida trabalhando com o
que você verdadeiramente ama.</t>
  </si>
  <si>
    <t>gptdinheiro
🚀 Você sabia que o ChatGPT pode
ser a chave para a sua liberdade
financeira? Nos acompanhe e descubra
como! #ChatGPT #LiberdadeFinanceira</t>
  </si>
  <si>
    <t>suporteebook
🧠 #Mindset #MONEY #bitcoin #BILLIONAIRE
#lifestyle #jovemmilionario #sucess
#liberdadefinanceira https://t.co/bNbOcUxv0x</t>
  </si>
  <si>
    <t>cartaoclonadonf
#liberdadefinanceira #ganharseguidores
#dinheiroonline #trabalharemcasa
#investimento #ganhardinheiroonline
#vendas #investimentos #cil #ganhardinheiroemcasa
#comoganhardinheiro https://t.co/mHY7OOMJU2</t>
  </si>
  <si>
    <t>i_monetaria
Pois é! Essa é a vida de muitos
investidores. Conhece alguém assim?
😅 #meme #bolsadevalores #humor
#satira #bancos #investidor #economia
#foco #liberdadefinanceira https://t.co/x1dUbjvvzr</t>
  </si>
  <si>
    <t>homeprofissao
Explore seu potencial empreendedor
e descubra oportunidades de renda
extra que podem mudar sua vida.
Não espere mais para alcançar seus
sonhos! ✨💰 #rendaextra #dinheiroextra
#dinheiroonline #rendaextraemcasa
#liberdadefinanceira https://t.co/eUg5j7TXXF</t>
  </si>
  <si>
    <t>sobre_rodrigo
Compartilhe com quem está precisando
de uma motivação para alcançar
os objetivos desejados! 🚀🔥 Acesse
o Site O link está na Bio ✅ #empreendedorismo
#foco #objetivos #liberdadefinanceira
#Negocios #vendas https://t.co/LyEjm4a6jU</t>
  </si>
  <si>
    <t>clubedericos
O poder da liberdade #liberdadefinanceira
#marketindigital #cdricos #dinheiro
#dinheiroextra #empreendedorismo
https://t.co/1sPJNm3tSo</t>
  </si>
  <si>
    <t>grm88765974grm
#formação #finanças #motivacao
#sucesso #educaçãofinanceira #liderança
#desenvolvimentopessoal #MarketingDigital
#mentesmilionárias #investimentos
#liberdadefinanceira</t>
  </si>
  <si>
    <t>suavidadigital
Comece a ganhar dinheiro com um
clique hoje! Inscreva-se agora
para ter acesso a nossa plataforma
e descubra várias formas para destravar
sua liberdade financeira!! Inscreva-se
já https://t.co/p3eo2Gccsi #liberdadefinanceira
https://t.co/K4Xrj1MigG</t>
  </si>
  <si>
    <t>marceloadsva
Comprar um imóvel é investir no
seu futuro e na sua liberdade financeira.
Diga adeus ao aluguel e faça um
investimento que realmente vale
a pena! #casapropria #investimentoseguro
#liberdadefinanceira</t>
  </si>
  <si>
    <t>moneymentorx
Qual é o PIOR país da zona Euro
em literacia financeira? 💸 Vota
e vê a resposta em baixo nos comentários
👇 #AI#literaciafinanceira #financialiteracy
#FinancialFreedom #liberdade #liberdadefinanceira
Sinta-se à vontade para me seguir
@moneymentorX!</t>
  </si>
  <si>
    <t>jhonys_eth
Essa SEMPRE será a minha mensagem
aqui na internet, estou fazendo
meu papel, o meu propósito! Corra
atrás do conhecimento, pois ele
liberta, assim como eu me libertei!
#liberdade #liberdadeintelectual
#liberdadefinanceira #descentralização
https://t.co/S4iutjloYr</t>
  </si>
  <si>
    <t>10milionaria
Que programas/podcasts 🇵🇹 seguem?
( dos que promovem a literacia
financeira ) #literaciafinanceira
#liberdadefinanceira #investimento
#podcasting #podcast</t>
  </si>
  <si>
    <t>marcoskcond
Liberte-se das amarras financeiras!
Com a criptomoeda MELD, a chave
da liberdade está em suas mãos.
Assuma o controle de seu destino
financeiro e abra as portas para
uma nova era de independência e
prosperidade. 💰✨ #MELD #LiberdadeFinanceira
#AssumaOControle @MELD_Defi</t>
  </si>
  <si>
    <t xml:space="preserve">meld_defi
</t>
  </si>
  <si>
    <t>francamarcos7
👉 Acompanhe minha jornada, siga-me
e fique por dentro de conteúdos
valiosos para impulsionar sua carreira
e empreendimento! #empreendedorismo
#liberdadefinanceira #liberdadegeografica
#propósito #estratégias</t>
  </si>
  <si>
    <t>dawisonbarbosa
Você tá gastando o dinheiro que
não é seu? CUIDADO! Isso pode te
trazer resultados não tão agradáveis
para a sua saúde financeira. #investidoriniciante
#mentemilionaria #liberdadefinanceira
#PréRico #minutodariqueza #viverderenda
#skininthegame https://t.co/FqItwV5MIa</t>
  </si>
  <si>
    <t>beltrameotavio
Dinheiro: ou você controla o seu,
ou ele controla você. Infelizmente
na maioria dos casos, é o dinheiro
que controla as pessoas. #dinheiro
#liberdadefinanceira #aprenderainvestir
#bolsadevalores #segurança #riqueza</t>
  </si>
  <si>
    <t>dracmatoke18647
Dracma Gold NFT listado na https://t.co/7JyUQ3qvbC
#Dracmatoken #token #criptomoeda
#liberdadefinanceira https://t.co/WePOrOxNJ6</t>
  </si>
  <si>
    <t>dinheircripto
@ligacrypto Enquanto a população
não procurar se informar, é assim
que eles vão tratar. #Bitcoin #criptoedas
#liberdadefinanceira</t>
  </si>
  <si>
    <t xml:space="preserve">ligacrypto
</t>
  </si>
  <si>
    <t>revistaoeste
Randolfe Rodrigues associa Telegram
ao nazismo https://t.co/g3z2HpWj3u</t>
  </si>
  <si>
    <t>marcoscleberc
#brasil #iptv #news #apple #btc
#criptomoedas #blockchain #investimentos
#aprenda #mudesuavida #economia
#finanças #educaçaofinanceira #investidor
#iniciante #sucesso #rico #bitcoin
#token #web3 #metaverso #cripto
#liberdadefinanceira #brasil #criptoativos
#defi #web3 #crypto #nf</t>
  </si>
  <si>
    <t>micerchiari
Sem tabu, e pra você, o que é o
Dinheiro? Comenta aí 👇🏻🤑 . #dinheiro
#dinheiroextra #dinheiroonline
#dinheiroemcasa #rendaextra #liberdadefinanceira
#cash #mepoupe #marketingdigital
#negocios #empreendedorismo https://t.co/m60UL43tk6</t>
  </si>
  <si>
    <t>graphic_hood
MedPulse - Logo Design (Unused
) Follow me : @graphichood24 30
Days logo challenge_Day 4 With
: @Vectplus7 #vectplus #logo #logodesinger
#logoinspire #logos #logoroom #logoconcept
#logobrand #logoprocess #professionallogo
#finance #liberdadefinanceira #finances
#personalfinance https://t.co/CCMabDgciF</t>
  </si>
  <si>
    <t xml:space="preserve">vectplus7
</t>
  </si>
  <si>
    <t>maniam_podcast
"Não importa quanto dinheiro você
tem, se você não tem educação financeira,
você é um escravo do dinheiro."
- Robert Kiyosaki #EducaçãoFinanceira
#LiberdadeFinanceira #GestãoDeDinheiro
#PlanejamentoFinanceiro #FinançasPessoais
#IndependenciaFinanceira</t>
  </si>
  <si>
    <t>aryannevictori5
Comenta aqui "eu quero" . #mercadofinaceiro
#MarketingDigital #liberdadefinanceira
#adolescentes #Noticias https://t.co/6hu9U4lVmF</t>
  </si>
  <si>
    <t>bytresloucado
SEGMENTOS – FUNDOS IMOBILIÁRIOS
PARA 2023 #fiis #fundoimobiliário
#investimento #liberdadefinanceira
https://t.co/8EnlqBoAbS</t>
  </si>
  <si>
    <t>afalcao93
📊Qual desses indicadores você
mais achou fácil e gostou? Deixe
aqui nos comentários 👇🏻 #investidor
#daytrader #swingtrader #ações
#viverderenda #rendavariavel #liberdadefinanceira
#comoinvestir #mercadofinanceiro
#dinheiroemcasa #ibovespa #bolsadevalores
#rendaextra #dinheiro https://t.co/7lqoOp3qP5</t>
  </si>
  <si>
    <t>rodzamppa
😉 "Se você está sonhando com aquelas
férias luxuosas 🏖️, o #Bitcoin
pode ser o caminho para torná-las
realidade! 🚀 Vamos juntos nessa
viagem rumo ao sucesso financeiro.
#liberdadefinanceira #criptomoedas"
https://t.co/EdaMKGNUht</t>
  </si>
  <si>
    <t>greenlandd41811
How To Manage Your Finance For
Your Future. . . . . #finance #liberdadefinanceira
#financeiro #financegoals #financebroker
#financeeducation #realestate #realestateagent
#realestateinvestors #realestateteam
#realliferealestate #realtestate
#finance #liberdadefinanceira https://t.co/OwIumqArXd</t>
  </si>
  <si>
    <t>kucoinportugues
📚 #KuCoinLearn: Como fazer renda
passiva com stablecoins 🚀 Stablecoins
podem ser nosso porto seguro em
um bear market. Descubra os segredos
de ganhar renda passiva com stablecoins!
👉 https://t.co/z6zPEiviMF #RendaPassiva
#Stablecoins #LiberdadeFinanceira
#PYUSD https://t.co/KMHGSiBNTW</t>
  </si>
  <si>
    <t>fs_karoliny
Se permita* mudar de vida também
!! #MarketingDigital #liberdadefinanceira
https://t.co/bwstj0JYyS</t>
  </si>
  <si>
    <t>falabarreiras
CURSO DE BALÕES: Oportunidade de
conquistar a liberdade financeira
através da arte com balões https://t.co/qQmyqaavRQ
#CursodeBaloes #Barreiras #LiberdadeFinanceira
#ArtecomBaloes #Oportunidade #Noticias
@mecbalões</t>
  </si>
  <si>
    <t>julionafe
Boa Viagem Cida! ❣️✈️ 📲 +5551981708833
🔗 https://t.co/F09yYc2v9v - -
- #mudançadevida #prosperidade
#investimento #bitcoinbr #liberdadefinanceira
#weweglob #lifestyle #julionafe
#AD55 #AD55Online #CEU #igreja
#Jesus #Cristo #Deus https://t.co/4SwY5Rj15p</t>
  </si>
  <si>
    <t>elevamiami
A expectativa de retorno vale para
todos investimentos, incluindo
os ativos financeiros em bolsas,
moedas, criptos, investimentos
alternativos e etc. Sem uma expectativa
de retorno saudável e não muito
otimista vc fica perdido no escuro.
#liberdadefinanceira #FIRE</t>
  </si>
  <si>
    <t>marcontainer
"Não troque seu tempo por dinheiro,
invista em fontes de renda passiva
e deixe seu dinheiro trabalhar
para você." #rendapassiva #investimentos
#liberdadefinanceira</t>
  </si>
  <si>
    <t>onegotk
Nunca deixe que desacreditem de
você👑 #liberdadefinanceira #sucesso
#empreendedorismo https://t.co/KExOHwZVBR</t>
  </si>
  <si>
    <t>descomplicaft
O vídeo sobre 𝐏𝐞𝐫𝐟𝐢𝐥 𝐩𝐚𝐫𝐚
𝐈𝐧𝐯𝐞𝐬𝐭𝐢𝐫 😉 já se encontra
disponível no 𝐘𝐨𝐮𝐓𝐮𝐛𝐞 🎥
Vídeo disponível em https://t.co/9ezykfiwN9
#Descomplica #FinançasParaTodos
#Aprender #Dinheiro #Mercado #YouTube
#Investimentos #PerfilParaInvestir
#LiberdadeFinanceira https://t.co/xW7nYyP67D</t>
  </si>
  <si>
    <t>eacoes
Aprenda 7 dicas de investimento
com Luiz Barsi Filho. O maior investidor
pessoa física da bolsa. Acesse
o link para ver o artigo completo.
https://t.co/zFzm5Vl52y #barsi
#luizbarsi #finanças #dividendos
#liberdadefinanceira #dividendos
https://t.co/pPn1k5slGi</t>
  </si>
  <si>
    <t>apenasdanmendes
ENTENDA ISSO PARA CONQUISTAR SUA
LIBERDADE FINANCEIRA _ Flávio Augusto
#flavioaugusto #liberdadefinanceira
#sucesso #motivacao #motivacional
https://t.co/FCasyqMYNB</t>
  </si>
  <si>
    <t>seumentor
💭Liberdade financeira é algo subjetivo🧐.
Alguns precisam de 💰300mil investidos,
outros 500mil💰. Da mesma forma,
algumas pessoas não alcançam mesmo
com milhões🙅‍♂️💵. O que vai determinar
são os seus gastos💸 e padrão de
vida🏖️🏠 que deseja ter. #LiberdadeFinanceira…
https://t.co/cYEOwNVoZF</t>
  </si>
  <si>
    <t>kakoramos
A organização financeira é fundamental
para alcançar a liberdade financeira.
Ela permite que você faça escolhas
inteligentes com seu dinheiro,
invista em ativos que geram renda
passiva e planeje seu futuro financeiro.
#organizaçãofinanceira #liberdadefinanceira
#riqueza https://t.co/NqBvWc0oR3</t>
  </si>
  <si>
    <t>umlokd
A liberdade é uma obrigação🌎💫
#liberdadefinanceira https://t.co/8ZKZUSiILB</t>
  </si>
  <si>
    <t>jovememprendedo
Tenha coragem de falar a verdade,tira
esse medo de lado e comece hoje,te
ensino hj mesmo 🚀💵💻 . . . .
. #trabalhoemcasa #dinheiroonline
#dinheiro #rendaextra #renda #sucesso
#mindset #liberdadefinanceira #empreendedorismo
https://t.co/2D3ImCBsBI</t>
  </si>
  <si>
    <t>caioneto2
#doterra #empreendedorismo #liberdadefinanceira
#futurobrilhante #sucesso @ericaafabricia
https://t.co/6tbrdvDxkc https://t.co/N9wJMFaPhM
https://t.co/SYCSLnemBs</t>
  </si>
  <si>
    <t>andyz_2023
Esse é o último do mês a pagar.🙏🏼🤑.
#dividendos #ClearCorretora #BomDia
#BuenosDias #GoodMorning #SigaMe
#FollowMe #Gratidao @faveladoinvest
@FelipeTadewald #LiberdadeFinanceira
https://t.co/JSI5KFFnUl</t>
  </si>
  <si>
    <t xml:space="preserve">fiis_fi
</t>
  </si>
  <si>
    <t xml:space="preserve">faveladoinvest
</t>
  </si>
  <si>
    <t>siacsistemas
Além destes, existem outros mil
motivos para você adquirir hoje
mesmo o ERP da Siac Sistemas. Leve
mais profissionalização para o
seu negócio, conte com a gente!
#siac #erp #gestão #sistema #empreendedorismo
#empreendedordesucesso #oportunidade
#liberdadefinanceira #software
https://t.co/Nrvdas3Eox</t>
  </si>
  <si>
    <t>fetrabalho1
Para apoiar o governo atual é necessário
muita cegueira para acreditar nas
mentiras contadas. O que você acha
sobre isso? ——— #pt #ptnao #governo
#estado #politica #liberdade #economia
#liberdadefinanceira #brasil #conservadorismo
https://t.co/HhaXhs965c</t>
  </si>
  <si>
    <t>keepgrowing_
Listamos para você 6 formas para
sobrar dinheiro no final do mês.
Não esqueça de salvar para consultar
depois e enviar para aquele amigo
que precisa. #keepgrowingmentoria
#makeyourfuture #desenvolvimentopessoal
#poupança #dinheiro #inteligenciafinanceira
#liberdadefinanceira https://t.co/UYLns9cfJq</t>
  </si>
  <si>
    <t>financas
Como eu investiria pra viver de
renda? #liberdadefinanceira https://t.co/StOZHIRS3b
https://t.co/80DQnywFS7</t>
  </si>
  <si>
    <t>naterciamanuel1
Se tu és de Portugal Lisboa então
isso é pra ti Mega evento 🧠🧠
The future starts now tuor📲💰
#Lisboa #Portugal #evento #liberdadefinanceira
#rendaextra #dinheiro https://t.co/JcinQOfKdF</t>
  </si>
  <si>
    <t>miguelrr_crypto
#Portugal deveria seguir o exemplo
de #ElSalvador e aceitar a #Bitcoin
como forma de pagamento para qualquer
bem ou serviço. #liberdadefinanceira
#liberdade #economia #finanças</t>
  </si>
  <si>
    <t>luciane51047000
Renda Extra, Mundo Digital https://t.co/F6MQX2JNaa
via @YouTube #dinheiro #dinheirorenda
#EXTRA#dinheiroonline #dinheiroemcasa
#sucesso #sucessoprofissional #liberdadefinanceira
#liberdade #empreendedorismo #Me
#Chamar no #director https://t.co/uVoIDRai8A</t>
  </si>
  <si>
    <t>rosangela_marq
Você sabia que , pode se tornar
um representante da marca Lift
detox Black? Você pode comprar
para uso pessoal ou para revender!
https://t.co/65CYLnrBi0 #revendedores
#spirulina #produtosnaturais #liberdadefinanceira
https://t.co/dzfk5AJwP7</t>
  </si>
  <si>
    <t>conciergebtc
Aqui no Concierge Bitcoin, estamos
dedicados a acelerar o seu entendimento
de Bitcoin, preparando você para
o futuro da economia. 📈🌐 #ConciergeBitcoin
#Bitcoin #InstitutoMises #EducaçãoFinanceira
#Criptomoedas #LiberdadeFinanceira
#misesbrasil #IMB #mises #rothbard
#hayek</t>
  </si>
  <si>
    <t>gustavoipadilla
💵 #LibertadFinanciera #FinancialFreedom
#LiberdadeFinanceira #LibertàFinanziaria
#LibertéFinancière ¡Cᴏɴǫᴜɪsᴛᴇ sᴜ
Lɪʙᴇʀᴛᴀᴅ Fɪɴᴀɴᴄɪᴇʀᴀ! https://t.co/ELZBg1f1dV
https://t.co/F2QWqm4u3X</t>
  </si>
  <si>
    <t>carlosraldi
Investir disciplinadamente, pra
daqui uns 3 ano se aposentar, e
poder fazer oq ama, sem se importar
com a grana ou ir trablhar pra
alguém em um serviço ao qual vc
odeia. #liberdade #liberdadefinanceira</t>
  </si>
  <si>
    <t>evoyconsorcios
E você? Até onde quer chegar? Vem
evoluir com a gente, somos a Evoy.
#evoy #evoyconsorcios #consorcios
#carro #automovel #investimento
#chegajunto #planejamento #investir
#clientes #compra #realização #liberdadefinanceira
#planejamentofinanceiro https://t.co/nHgJMCh5O6</t>
  </si>
  <si>
    <t>achadinhosdaall
Um método desenvolvido para mulheres
que buscam a sua liberdade financeira
e querem utilizar a internet como
meio para construir um negócio
sólido, lucrativo e exponencial.
⬇️⬇️⬇️ https://t.co/Kd80rvQKks
#sejapatroa #liberdadefinanceira
https://t.co/t0AYRut3Ks</t>
  </si>
  <si>
    <t>bynessantos
#liberdadefinanceira #educaçãofinanceira</t>
  </si>
  <si>
    <t>afonteuniversal
Qual é a sua definição de prosperidade?
Para nós, é ter liberdade financeira
para realizar sonhos, mas também
ter tempo para desfrutar da vida
com as pessoas que amo. E para
você, o que é prosperidade? 🤔💰❤️
#prosperidade #tempo #liberdadefinanceira
#Deus #espiritualidade</t>
  </si>
  <si>
    <t>duduhrosa13
Conheça 3 hábitos financeiros saudáveis
#finanças #planejamentofinanceiro
#sucesso #metasfinanceiras #liberdadefinanceira
#planejamentofinanceiro #FinançasPessoais
#Orçamento #ControleFinanceiro
https://t.co/BC2miUkCly</t>
  </si>
  <si>
    <t>marcos_b_39
📊 Consultoria Financeira Especializada
para Micros e Pequenas Empresas
e Pessoa Física! 🔍 Diagnóstico
Gratuito por Vídeo Conferência!
So manda mensagem que eu retorno
#liberdadefinanceira #educacaofinanceira
#educaçãofinanceira #consultoriafinanceira
#financeira https://t.co/47UxrMGQiK</t>
  </si>
  <si>
    <t>holistic_invest
The keys to your financial freedom.
Play them wisely . . . #finance
#libertadfinanciera #liberdadefinanceira
#finances #personalfinance #financetips
#mercadofinanceiro #educacionfinanciera
#educacaofinanceira #planejamentofinanceiro
#independenciafinanceira #educaçãofinanceira
https://t.co/ltpHCoycnb</t>
  </si>
  <si>
    <t>rafael__costa__
*RENTABILIDADE PASSADA NÃO REPRESENTA
GARANTIA DE RENTABILIDADE FUTURA.
#investimentosbrasileexterior #investimentobrasil
#investimentoexterior #rendavariável
#bolsadevalores #longoprazo #comoinvestir
#liberdadefinanceira #ações #dividendos
#lucroconstante #lucrosconstantes</t>
  </si>
  <si>
    <t>bianobk1bianobk
Quer mais liberdade financeira?
Nosso produto de renda extra é
a resposta! Invista em si mesmo
e colha os frutos do sucesso. #LiberdadeFinanceira
#RendaExtra #InvistaEmVocê https://t.co/kc7C1BZbl8</t>
  </si>
  <si>
    <t>byebnk
O mercado pode estar subestimando
a inflação e isso pode afetar sua
vida. Saiba que o byebnk pode te
ajudar, fale com nossos especialistas:
https://t.co/WzK2eKLsJC #inflação
#inflaçãoglobal #liberdadefinanceira
#economia #investimentos #negócios
#empreendedor https://t.co/tqZnp9D1aL</t>
  </si>
  <si>
    <t>arrcanjjo
Basta reduzir a carga tributária
das empresas nacionais que elas
vão voar seu 'ĵênio'. #liberdadefinanceira
#rendavariavel #rendapassiva #educacaofinanceira
#investimento #independênnciafinanceira
#economia #criptomoedas #motivação
#atualidades #desenvolvimentopessoal
https://t.co/X9w0CQO5iz</t>
  </si>
  <si>
    <t>andreynousi
Lembre-se, alcançar a liberdade
financeira é uma jornada contínua.
Seja paciente, continue aprendendo
e apoiando-se e você chegará lá.
#DesenvolvimentoPessoal #Investimentos
#LiberdadeFinanceira #Relacionamentos</t>
  </si>
  <si>
    <t>estantevirtuall
E Vc, Quer Ser Qual Dessas Opções
? Eu: Milionário, Com Certeza🚀
#liberdadefinanceira #fypシ #plr
#money #sucesso #rendaextraonline
#afiliados #marketingdigital #milionário
#empreendedorismo #LivreParaSer
#primeiravenda #empreendedor #marketing
#dropshipping #kiwify #legado https://t.co/rulRpzrQat</t>
  </si>
  <si>
    <t>eijhenycristina
Me chama aqui que explico o que
fazer #MarketingDigital #dinheiro
#dinheiroextra #liberdadefinanceira
https://t.co/Rzy5KYVNQk</t>
  </si>
  <si>
    <t>mestremarketlng
- Siga: @MESTREMARKETlNG para ver
mais vídeos como este 💡 - - -
#empreendedorismo #photooftheday
#vibes #motivacao #frasesinspiradoras
#dinheiro #sucesso #liberdadefinanceira
https://t.co/CrHSfD65On</t>
  </si>
  <si>
    <t>romerofinancas
Existem várias regras que determinam
quando e como você pode sacar o
FGTS (Fundo de Garantia por Tempo
de Serviço). #finanças #dinheiro
#investimentos #economia #riqueza
#negócios #investir #liberdadefinanceira
#educaçãofinanceira #sucesso #planejamentofinanceiro
https://t.co/UR93Oud0AM</t>
  </si>
  <si>
    <t>senhordigitais
Ola compartilho minha experiência
empreendedora para ajudar você
a conquistar a liberdade financeira.
Dicas e insights sobre negócios
online aqui! Juntos podemos alcançar
nossos objetivos! 🚀 #empreendedorismo
#negóciosonline #liberdadefinanceira</t>
  </si>
  <si>
    <t>portalblurbi
Como vender todos os dias na internet
e conquistar a liberdade geográfica
e financeira que sempre sonhou.
Não perca tempo e leia agora mesmo!
#plr #vendasonline #liberdadefinanceira
#hotmart #afiliado Link: https://t.co/aL9MvQx1uw
https://t.co/TraHWmvTKX</t>
  </si>
  <si>
    <t>luciclaudio7
Você precisa sair dessa situação
negativa! 👎🏻 Nós temos a solução
para isso. Entrem em contato conosco
e saiba como funciona. Limpe seu
nome e eleve seu score! Positive-se!
✅ Saiba mais clicando no link na
BIOS. #limpanome #eleveoscore #liberdadefinanceira
#positivobrasil https://t.co/WpQpRwyeYi</t>
  </si>
  <si>
    <t>henleinvest
#investimentos #investimento #bolsadevalores
#bovespa #rendavariavel #ações
#mercadofinanceiro #liberdadefinanceira
#finanças #planejamentofinanceiro
#trader #stocks #dinheiro #henleinvestimentos
#economia #dividendos #ibovespa
#agro #agronegocio #soja #milho
#keplerweber https://t.co/6OtaOVbeb4</t>
  </si>
  <si>
    <t>takesdoferini
Você já construiu o seu pote de
paz de espírito? #ferini #motivacional
#desenvolvimentopessoal #marketingdigital
#marketing #empreendedorismo #mindset
#liberdadefinanceira https://t.co/dy83uIydFP</t>
  </si>
  <si>
    <t xml:space="preserve">fellipeferini
</t>
  </si>
  <si>
    <t xml:space="preserve">gabrielamosmann
</t>
  </si>
  <si>
    <t>menteblindados
#fy #competição #2023 #escolhas
#pessoas #talentos #conquista #autoconhecimento
#liberdadefinanceira #foconoobjetivo
#waizer #mindset #marketingdigital
#dinheiroextra https://t.co/jQXBw6NxBr</t>
  </si>
  <si>
    <t>GraphSource░TwitterSearch3▓GraphTerm░#liberdadefinanceira▓ImportDescription░The graph represents a network of 360 Twitter users whose recent tweets contained "#liberdadefinanceira", or who were replied to, mentioned, retweeted or quoted in those tweets, taken from a data set limited to a maximum of 4.000 tweets, tweeted between 01/01/2023 20:59:55 and 22/09/2023 20:59:55.  The network was obtained from Twitter on Friday, 22 September 2023 at 23:18 UTC._x000D_
_x000D_
The tweets in the network were tweeted over the 262-day, 9-hour, 24-minute period from Tuesday, 03 January 2023 at 12:28 UTC to Friday, 22 September 2023 at 21:52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above.▓ImportSuggestedTitle░#liberdadefinanceira Twitter NodeXL SNA Map and Report for sexta-feira, 22 setembro 2023 at 23:02 UTC▓ImportSuggestedFileNameNoExtension░2023-09-22 23-02-59 NodeXL Twitter Search #liberdadefinanceira</t>
  </si>
  <si>
    <t>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</si>
  <si>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</si>
  <si>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</si>
  <si>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</si>
  <si>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</si>
  <si>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</si>
  <si>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</si>
  <si>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</si>
  <si>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</si>
  <si>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</si>
  <si>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</si>
  <si>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</si>
  <si>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</si>
  <si>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</si>
  <si>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</si>
  <si>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</si>
  <si>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</si>
  <si>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</si>
  <si>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</si>
  <si>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1.0.1.521</t>
  </si>
  <si>
    <t>TwitterSearch3</t>
  </si>
  <si>
    <t>#liberdadefinanceira</t>
  </si>
  <si>
    <t>The graph represents a network of 360 Twitter users whose recent tweets contained "#liberdadefinanceira", or who were replied to, mentioned, retweeted or quoted in those tweets, taken from a data set limited to a maximum of 4.000 tweets, tweeted between 01/01/2023 20:59:55 and 22/09/2023 20:59:55.  The network was obtained from Twitter on Friday, 22 September 2023 at 23:18 UTC._x000D_
_x000D_
The tweets in the network were tweeted over the 262-day, 9-hour, 24-minute period from Tuesday, 03 January 2023 at 12:28 UTC to Friday, 22 September 2023 at 21:52 UTC._x000D_
_x000D_
There is an edge for each "replies-to" relationship in a tweet, an edge for each "mentions" relationship in a tweet, an edge for each "retweet" relationship in a tweet, an edge for each "quote" relationship in a tweet, an edge for each "mention in retweet" relationship in a tweet, an edge for each "mention in reply-to" relationship in a tweet, an edge for each "mention in quote" relationship in a tweet, an edge for each "mention in quote reply-to" relationship in a tweet, and a self-loop edge for each tweet that is not from above.</t>
  </si>
  <si>
    <t>Key</t>
  </si>
  <si>
    <t>Action Label</t>
  </si>
  <si>
    <t>Action URL</t>
  </si>
  <si>
    <t>Brand Logo</t>
  </si>
  <si>
    <t>Brand URL</t>
  </si>
  <si>
    <t>Hashtag</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</si>
  <si>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&lt;GraphMetricUserSettings&gt;_x000D_
      &lt;setting name="GraphMetricsToCalculate" serializeAs="String"&gt;_x000D_
        &lt;value&gt;OverallMetrics&lt;/value&gt;_x000D_
      &lt;/setting&gt;_x000D_
    &lt;/GraphMetricUserSettings&gt;_x000D_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</si>
</sst>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5">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0" fillId="0" borderId="0" xfId="0" quotePrefix="1" applyAlignment="1"/>
    <xf numFmtId="0" fontId="0" fillId="0" borderId="0" xfId="0" quotePrefix="1" applyFill="1" applyAlignment="1"/>
    <xf numFmtId="0" fontId="13" fillId="0" borderId="0" xfId="9"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cellXfs>
  <cellStyles count="10">
    <cellStyle name="Hi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88">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87"/>
      <tableStyleElement type="headerRow" dxfId="186"/>
    </tableStyle>
    <tableStyle name="NodeXL Table" pivot="0" count="1" xr9:uid="{00000000-0011-0000-FFFF-FFFF01000000}">
      <tableStyleElement type="headerRow" dxfId="1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B1F1-4A25-AD03-881027ED143E}"/>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967-4C0C-95FF-73CB3F6B05D1}"/>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C6A-427D-A480-E4F44266D04C}"/>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F7F-46E4-8050-FAF99A0AC842}"/>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F92-4996-8855-EDA44E6DFC6B}"/>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356-470D-A048-90379F2BA383}"/>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83EF-4C6E-AEC0-5ADB72DC37FE}"/>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E6E-4054-BBCE-3268D8F4524F}"/>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2A0-4C7B-83A9-78C0BD27F9B3}"/>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I993" totalsRowShown="0" headerRowDxfId="184" dataDxfId="125">
  <autoFilter ref="A2:BI993" xr:uid="{00000000-0009-0000-0100-000001000000}"/>
  <tableColumns count="61">
    <tableColumn id="1" xr3:uid="{00000000-0010-0000-0000-000001000000}" name="Vertex 1" dataDxfId="101" dataCellStyle="NodeXL Required"/>
    <tableColumn id="2" xr3:uid="{00000000-0010-0000-0000-000002000000}" name="Vertex 2" dataDxfId="99" dataCellStyle="NodeXL Required"/>
    <tableColumn id="3" xr3:uid="{00000000-0010-0000-0000-000003000000}" name="Color" dataDxfId="100" dataCellStyle="NodeXL Visual Property"/>
    <tableColumn id="4" xr3:uid="{00000000-0010-0000-0000-000004000000}" name="Width" dataDxfId="135" dataCellStyle="NodeXL Visual Property"/>
    <tableColumn id="11" xr3:uid="{00000000-0010-0000-0000-00000B000000}" name="Style" dataDxfId="134" dataCellStyle="NodeXL Visual Property"/>
    <tableColumn id="5" xr3:uid="{00000000-0010-0000-0000-000005000000}" name="Opacity" dataDxfId="133" dataCellStyle="NodeXL Visual Property"/>
    <tableColumn id="6" xr3:uid="{00000000-0010-0000-0000-000006000000}" name="Visibility" dataDxfId="132" dataCellStyle="NodeXL Visual Property"/>
    <tableColumn id="10" xr3:uid="{00000000-0010-0000-0000-00000A000000}" name="Label" dataDxfId="131" dataCellStyle="NodeXL Label"/>
    <tableColumn id="12" xr3:uid="{00000000-0010-0000-0000-00000C000000}" name="Label Text Color" dataDxfId="130" dataCellStyle="NodeXL Label"/>
    <tableColumn id="13" xr3:uid="{00000000-0010-0000-0000-00000D000000}" name="Label Font Size" dataDxfId="129" dataCellStyle="NodeXL Label"/>
    <tableColumn id="14" xr3:uid="{00000000-0010-0000-0000-00000E000000}" name="Reciprocated?" dataDxfId="128" dataCellStyle="NodeXL Graph Metric"/>
    <tableColumn id="7" xr3:uid="{00000000-0010-0000-0000-000007000000}" name="ID" dataDxfId="127" dataCellStyle="NodeXL Do Not Edit"/>
    <tableColumn id="9" xr3:uid="{00000000-0010-0000-0000-000009000000}" name="Dynamic Filter" dataDxfId="126" dataCellStyle="NodeXL Do Not Edit"/>
    <tableColumn id="8" xr3:uid="{00000000-0010-0000-0000-000008000000}" name="Add Your Own Columns Here" dataDxfId="98" dataCellStyle="NodeXL Other Column"/>
    <tableColumn id="15" xr3:uid="{1BB0C1B6-3141-4539-82C4-07C8D0A4D86C}" name="Relationship" dataDxfId="97" dataCellStyle="Normal"/>
    <tableColumn id="16" xr3:uid="{C4CD9CAE-F1B4-47F8-9444-2D81992CA8D3}" name="Relationship Date (UTC)" dataDxfId="96" dataCellStyle="Normal"/>
    <tableColumn id="17" xr3:uid="{E67E2CC7-B3BC-46D6-B6B0-6FE4D1E432F5}" name="Tweet" dataDxfId="95" dataCellStyle="Normal"/>
    <tableColumn id="18" xr3:uid="{6081E983-DB9E-43F5-9C4D-B01D0F514627}" name="Retweet Count" dataDxfId="94" dataCellStyle="Normal"/>
    <tableColumn id="19" xr3:uid="{97D74E5F-DB63-4FEA-A2CF-06F45C1DADBC}" name="Favorite Count" dataDxfId="93" dataCellStyle="Normal"/>
    <tableColumn id="20" xr3:uid="{8BEC39DB-5B23-4B85-8E55-83BED6C9FF74}" name="Reply Count" dataDxfId="92" dataCellStyle="Normal"/>
    <tableColumn id="21" xr3:uid="{200A85B9-734E-443E-A980-880286C2ABBC}" name="Quote Count" dataDxfId="91" dataCellStyle="Normal"/>
    <tableColumn id="22" xr3:uid="{428AC32A-B5CB-468F-AEC7-B36323EC8075}" name="Impression Count" dataDxfId="90" dataCellStyle="Normal"/>
    <tableColumn id="23" xr3:uid="{CBEF5646-3396-47C1-9644-C798DA056E9F}" name="Hashtags in Tweet" dataDxfId="89" dataCellStyle="Normal"/>
    <tableColumn id="24" xr3:uid="{7CE0E20C-1BFE-4B9F-A573-BB19280E7472}" name="URLs in Tweet" dataDxfId="88" dataCellStyle="Normal"/>
    <tableColumn id="25" xr3:uid="{2A038FA1-FE2D-4A2A-8EA5-447DDBB23DF5}" name="Domains in Tweet" dataDxfId="87" dataCellStyle="Normal"/>
    <tableColumn id="26" xr3:uid="{E4D24C43-BB1A-4068-9644-70751960DA07}" name="Mentions in Tweet" dataDxfId="86" dataCellStyle="Normal"/>
    <tableColumn id="27" xr3:uid="{7D161EA4-8E12-4AC7-8A5D-90CE38F998C7}" name="Media in Tweet" dataDxfId="85" dataCellStyle="Normal"/>
    <tableColumn id="28" xr3:uid="{0DB2BF95-1D11-4881-BFD0-A916F3A1F00F}" name="Media Type" dataDxfId="84" dataCellStyle="Normal"/>
    <tableColumn id="29" xr3:uid="{04BB0D2A-7F61-42C6-89A5-B75959CB8F6F}" name="Source" dataDxfId="83" dataCellStyle="Normal"/>
    <tableColumn id="30" xr3:uid="{387D2DED-30B6-436F-AAD7-584FC2A9B875}" name="Language" dataDxfId="82" dataCellStyle="Normal"/>
    <tableColumn id="31" xr3:uid="{C9570562-DBF8-4227-9AAD-DCEB983CE9FB}" name="Twitter Page for Tweet" dataDxfId="81" dataCellStyle="Normal"/>
    <tableColumn id="32" xr3:uid="{A3530D3A-E6C0-4D89-B792-17DB2A27F5EF}" name="Tweet Date (UTC)" dataDxfId="80" dataCellStyle="Normal"/>
    <tableColumn id="33" xr3:uid="{58239711-664A-49E8-9B54-6811AB394DFB}" name="Date" dataDxfId="79" dataCellStyle="Normal"/>
    <tableColumn id="34" xr3:uid="{D43FA700-CC20-4ED9-9CF0-FA6015AF418C}" name="Time" dataDxfId="78" dataCellStyle="Normal"/>
    <tableColumn id="35" xr3:uid="{4845E940-487C-46B4-A0A3-87F8A2D2F8FC}" name="Possibly Sensitive" dataDxfId="77" dataCellStyle="Normal"/>
    <tableColumn id="36" xr3:uid="{C4AC33D2-5EE8-4143-AE35-BFD8CB5F2853}" name="Place Bounding Box" dataDxfId="76" dataCellStyle="Normal"/>
    <tableColumn id="37" xr3:uid="{9B5D8E41-CAE6-44D9-81B9-25EFC74F29F5}" name="Place Country" dataDxfId="75" dataCellStyle="Normal"/>
    <tableColumn id="38" xr3:uid="{AE9BCDFB-1BB0-40A9-A5FB-131616E58108}" name="Place Country Code" dataDxfId="74" dataCellStyle="Normal"/>
    <tableColumn id="39" xr3:uid="{39AD6320-8C0A-4D09-B3C3-48B5F778406A}" name="Place Full Name" dataDxfId="73" dataCellStyle="Normal"/>
    <tableColumn id="40" xr3:uid="{E317ADE4-27BE-4012-A3DE-F14AE254455C}" name="Place ID" dataDxfId="72" dataCellStyle="Normal"/>
    <tableColumn id="41" xr3:uid="{A8F6AEE5-0705-4676-ACFA-661B422950CC}" name="Place Name" dataDxfId="71" dataCellStyle="Normal"/>
    <tableColumn id="42" xr3:uid="{51B692DF-9E5A-49F7-B4C6-3720A2859DB8}" name="Place Type" dataDxfId="70" dataCellStyle="Normal"/>
    <tableColumn id="43" xr3:uid="{D69879C6-D840-4575-B806-C461D44578CB}" name="Media Key" dataDxfId="69" dataCellStyle="Normal"/>
    <tableColumn id="44" xr3:uid="{8219771C-F446-44FA-B079-3173BDD08309}" name="Media Duration (ms)" dataDxfId="68" dataCellStyle="Normal"/>
    <tableColumn id="45" xr3:uid="{AA0F7A27-4848-476C-8FF7-5646F3884D2A}" name="Media Height" dataDxfId="67" dataCellStyle="Normal"/>
    <tableColumn id="46" xr3:uid="{477365D2-A43A-4DCD-80F4-44CDBFC510DC}" name="Media Width" dataDxfId="66" dataCellStyle="Normal"/>
    <tableColumn id="47" xr3:uid="{4DB7D45F-1C62-4BE4-B4B0-932D63A9451C}" name="Media View Count" dataDxfId="65" dataCellStyle="Normal"/>
    <tableColumn id="48" xr3:uid="{8B1FCD1E-F866-4C6C-A315-D277435B9E8A}" name="Tweet Image File" dataDxfId="64" dataCellStyle="Normal"/>
    <tableColumn id="49" xr3:uid="{89500925-C20E-472D-98FF-DBBE9C1CC07E}" name="Imported ID" dataDxfId="63" dataCellStyle="Normal"/>
    <tableColumn id="50" xr3:uid="{F934FBFB-C11D-4E16-BD53-74D3E56D53F6}" name="Conversation ID" dataDxfId="62" dataCellStyle="Normal"/>
    <tableColumn id="51" xr3:uid="{2C9E657E-CCA1-49FE-8022-D71A2B36645D}" name="In Reply To User ID" dataDxfId="61" dataCellStyle="Normal"/>
    <tableColumn id="52" xr3:uid="{41B91677-ED7D-43BD-9D51-7D1459CBA3CE}" name="In Reply To Tweet ID" dataDxfId="60" dataCellStyle="Normal"/>
    <tableColumn id="53" xr3:uid="{5860897A-7B14-49B5-9021-5F7FAE634EE3}" name="Quoted Status ID" dataDxfId="59" dataCellStyle="Normal"/>
    <tableColumn id="54" xr3:uid="{2EAC65E0-A416-4751-9366-784A724349E7}" name="Retweet ID" dataDxfId="58" dataCellStyle="Normal"/>
    <tableColumn id="55" xr3:uid="{42F3389D-C60F-44F4-85D0-2C60E6CA759D}" name="Unified Twitter ID" dataDxfId="57" dataCellStyle="Normal"/>
    <tableColumn id="56" xr3:uid="{C2B35B4F-B15C-4204-9E1F-F705887A821A}" name="Author ID" dataDxfId="56" dataCellStyle="Normal"/>
    <tableColumn id="57" xr3:uid="{E61FF169-E134-413D-9741-CCE4F0BE8945}" name="Poll ID" dataDxfId="55" dataCellStyle="Normal"/>
    <tableColumn id="58" xr3:uid="{169A6D99-E791-48A0-8376-27B41BA8EC0A}" name="Poll Options" dataDxfId="54" dataCellStyle="Normal"/>
    <tableColumn id="59" xr3:uid="{0855DE4D-C67D-49DA-82D3-B091ECF1D24D}" name="Poll Duration" dataDxfId="53" dataCellStyle="Normal"/>
    <tableColumn id="60" xr3:uid="{E5385807-DB2C-495B-9E56-6EE4EEC9C4C0}" name="Poll End Date" dataDxfId="52" dataCellStyle="Normal"/>
    <tableColumn id="61" xr3:uid="{3EF486CC-DACF-4A1D-ADF7-6570BDA7770C}" name="Poll Voting Status" dataDxfId="51"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3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55535E6-BF6C-44F2-8BE1-CCAFEADF5F49}" name="ExportOptions" displayName="ExportOptions" ref="A1:B7" totalsRowShown="0" headerRowDxfId="3" dataDxfId="2" dataCellStyle="Normal">
  <autoFilter ref="A1:B7" xr:uid="{355535E6-BF6C-44F2-8BE1-CCAFEADF5F49}"/>
  <tableColumns count="2">
    <tableColumn id="1" xr3:uid="{373A77A9-B5D9-4618-B304-040015F11046}" name="Key" dataDxfId="1" dataCellStyle="Normal"/>
    <tableColumn id="2" xr3:uid="{10D553EF-729D-4BBE-8776-3EF938CC7ED2}" name="Value" dataDxfId="0"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BO362" totalsRowShown="0" headerRowDxfId="183" dataDxfId="102">
  <autoFilter ref="A2:BO362" xr:uid="{00000000-0009-0000-0100-000002000000}"/>
  <tableColumns count="67">
    <tableColumn id="1" xr3:uid="{00000000-0010-0000-0100-000001000000}" name="Vertex" dataDxfId="124" dataCellStyle="NodeXL Required"/>
    <tableColumn id="2" xr3:uid="{00000000-0010-0000-0100-000002000000}" name="Color" dataDxfId="123" dataCellStyle="NodeXL Visual Property"/>
    <tableColumn id="5" xr3:uid="{00000000-0010-0000-0100-000005000000}" name="Shape" dataDxfId="122" dataCellStyle="NodeXL Visual Property"/>
    <tableColumn id="6" xr3:uid="{00000000-0010-0000-0100-000006000000}" name="Size" dataDxfId="121" dataCellStyle="NodeXL Visual Property"/>
    <tableColumn id="4" xr3:uid="{00000000-0010-0000-0100-000004000000}" name="Opacity" dataDxfId="14" dataCellStyle="NodeXL Visual Property"/>
    <tableColumn id="7" xr3:uid="{00000000-0010-0000-0100-000007000000}" name="Image File" dataDxfId="12" dataCellStyle="NodeXL Visual Property"/>
    <tableColumn id="3" xr3:uid="{00000000-0010-0000-0100-000003000000}" name="Visibility" dataDxfId="13" dataCellStyle="NodeXL Visual Property"/>
    <tableColumn id="10" xr3:uid="{00000000-0010-0000-0100-00000A000000}" name="Label" dataDxfId="120" dataCellStyle="NodeXL Label"/>
    <tableColumn id="16" xr3:uid="{00000000-0010-0000-0100-000010000000}" name="Label Fill Color" dataDxfId="119" dataCellStyle="NodeXL Label"/>
    <tableColumn id="9" xr3:uid="{00000000-0010-0000-0100-000009000000}" name="Label Position" dataDxfId="8" dataCellStyle="NodeXL Label"/>
    <tableColumn id="8" xr3:uid="{00000000-0010-0000-0100-000008000000}" name="Tooltip" dataDxfId="6" dataCellStyle="NodeXL Label"/>
    <tableColumn id="18" xr3:uid="{00000000-0010-0000-0100-000012000000}" name="Layout Order" dataDxfId="7" dataCellStyle="NodeXL Layout"/>
    <tableColumn id="13" xr3:uid="{00000000-0010-0000-0100-00000D000000}" name="X" dataDxfId="118" dataCellStyle="NodeXL Layout"/>
    <tableColumn id="14" xr3:uid="{00000000-0010-0000-0100-00000E000000}" name="Y" dataDxfId="117" dataCellStyle="NodeXL Layout"/>
    <tableColumn id="12" xr3:uid="{00000000-0010-0000-0100-00000C000000}" name="Locked?" dataDxfId="116" dataCellStyle="NodeXL Layout"/>
    <tableColumn id="19" xr3:uid="{00000000-0010-0000-0100-000013000000}" name="Polar R" dataDxfId="115" dataCellStyle="NodeXL Layout"/>
    <tableColumn id="20" xr3:uid="{00000000-0010-0000-0100-000014000000}" name="Polar Angle" dataDxfId="114" dataCellStyle="NodeXL Layout"/>
    <tableColumn id="21" xr3:uid="{00000000-0010-0000-0100-000015000000}" name="Degree" dataDxfId="113" dataCellStyle="NodeXL Graph Metric"/>
    <tableColumn id="22" xr3:uid="{00000000-0010-0000-0100-000016000000}" name="In-Degree" dataDxfId="112" dataCellStyle="NodeXL Graph Metric"/>
    <tableColumn id="23" xr3:uid="{00000000-0010-0000-0100-000017000000}" name="Out-Degree" dataDxfId="111" dataCellStyle="NodeXL Graph Metric"/>
    <tableColumn id="24" xr3:uid="{00000000-0010-0000-0100-000018000000}" name="Betweenness Centrality" dataDxfId="110" dataCellStyle="NodeXL Graph Metric"/>
    <tableColumn id="25" xr3:uid="{00000000-0010-0000-0100-000019000000}" name="Closeness Centrality" dataDxfId="109" dataCellStyle="NodeXL Graph Metric"/>
    <tableColumn id="26" xr3:uid="{00000000-0010-0000-0100-00001A000000}" name="Eigenvector Centrality" dataDxfId="108" dataCellStyle="NodeXL Graph Metric"/>
    <tableColumn id="15" xr3:uid="{00000000-0010-0000-0100-00000F000000}" name="PageRank" dataDxfId="107" dataCellStyle="NodeXL Graph Metric"/>
    <tableColumn id="27" xr3:uid="{00000000-0010-0000-0100-00001B000000}" name="Clustering Coefficient" dataDxfId="106" dataCellStyle="NodeXL Graph Metric"/>
    <tableColumn id="29" xr3:uid="{00000000-0010-0000-0100-00001D000000}" name="Reciprocated Vertex Pair Ratio" dataDxfId="105" dataCellStyle="NodeXL Graph Metric"/>
    <tableColumn id="11" xr3:uid="{00000000-0010-0000-0100-00000B000000}" name="ID" dataDxfId="104" dataCellStyle="NodeXL Do Not Edit"/>
    <tableColumn id="28" xr3:uid="{00000000-0010-0000-0100-00001C000000}" name="Dynamic Filter" dataDxfId="103" dataCellStyle="NodeXL Do Not Edit"/>
    <tableColumn id="17" xr3:uid="{00000000-0010-0000-0100-000011000000}" name="Add Your Own Columns Here" dataDxfId="50" dataCellStyle="NodeXL Other Column"/>
    <tableColumn id="30" xr3:uid="{88A25ECE-FA4C-4354-9D5C-2AC22CDBCC05}" name="Name" dataDxfId="49" dataCellStyle="Normal"/>
    <tableColumn id="31" xr3:uid="{D62D03B4-B3DC-408A-9956-4D415834146A}" name="User ID" dataDxfId="48" dataCellStyle="Normal"/>
    <tableColumn id="32" xr3:uid="{EF4C6E3C-68AA-4A09-A3D8-3E724F5F36F5}" name="Followers" dataDxfId="47" dataCellStyle="Normal"/>
    <tableColumn id="33" xr3:uid="{34E2C3EE-0992-4E81-A48E-F13095A48AD6}" name="Followed" dataDxfId="46" dataCellStyle="Normal"/>
    <tableColumn id="34" xr3:uid="{CAE828E8-EC48-4915-851C-A22252DE230F}" name="Tweets" dataDxfId="45" dataCellStyle="Normal"/>
    <tableColumn id="35" xr3:uid="{69B3546C-8388-4DFC-B6ED-DB0E0C7DFDC7}" name="Listed Count" dataDxfId="44" dataCellStyle="Normal"/>
    <tableColumn id="36" xr3:uid="{EF594F3D-31A6-4F4C-AB54-47C644EA9CF8}" name="Favourites Count" dataDxfId="43" dataCellStyle="Normal"/>
    <tableColumn id="37" xr3:uid="{CF6C3B7B-B6F3-4D42-97BE-DD5E22F977A6}" name="Media Count" dataDxfId="42" dataCellStyle="Normal"/>
    <tableColumn id="38" xr3:uid="{450D6C68-52E5-4F3E-A5BC-30D0AED81BE8}" name="Verified" dataDxfId="41" dataCellStyle="Normal"/>
    <tableColumn id="39" xr3:uid="{2C6C3ADD-442C-4BC9-84CC-EE752628DB11}" name="Joined Twitter Date (UTC)" dataDxfId="40" dataCellStyle="Normal"/>
    <tableColumn id="40" xr3:uid="{BA1AAD4E-80F3-459B-991D-8FF3F0E626A8}" name="Location" dataDxfId="39" dataCellStyle="Normal"/>
    <tableColumn id="41" xr3:uid="{36422AC6-F149-4C18-AF22-82B5463C35FF}" name="Description" dataDxfId="38" dataCellStyle="Normal"/>
    <tableColumn id="42" xr3:uid="{98B5370A-404A-4A76-BF53-5F45A82D3DBB}" name="URLs (Details)" dataDxfId="37" dataCellStyle="Normal"/>
    <tableColumn id="43" xr3:uid="{F5A3984B-02C4-4405-BE87-BF80930D4C1A}" name="Expanded URLs (Details)" dataDxfId="36" dataCellStyle="Normal"/>
    <tableColumn id="44" xr3:uid="{833D94E6-7668-4431-87EE-ED4F15B4FBCE}" name="Display URLs (Details)" dataDxfId="35" dataCellStyle="Normal"/>
    <tableColumn id="45" xr3:uid="{22073965-8D6F-4C50-8A1D-9B6A08BA9B1E}" name="Description URLs (Details)" dataDxfId="34" dataCellStyle="Normal"/>
    <tableColumn id="46" xr3:uid="{E1680D9F-6B1A-4956-808E-42ECAEC899CF}" name="Description Expanded URLs (Details)" dataDxfId="33" dataCellStyle="Normal"/>
    <tableColumn id="47" xr3:uid="{513843E1-78C2-4F9F-8987-2C732609273F}" name="Description Display URLS (Details)" dataDxfId="32" dataCellStyle="Normal"/>
    <tableColumn id="48" xr3:uid="{6228291C-E8FC-46F6-84FD-BE1F832916C2}" name="Pinned Tweet ID" dataDxfId="31" dataCellStyle="Normal"/>
    <tableColumn id="49" xr3:uid="{C7FACC1A-E8B5-485F-9E1E-CB420AC65723}" name="URL" dataDxfId="30" dataCellStyle="Normal"/>
    <tableColumn id="50" xr3:uid="{58E9CAAF-A846-47CA-99C6-BB0F1B69DD97}" name="Is Blue Verified" dataDxfId="29" dataCellStyle="Normal"/>
    <tableColumn id="51" xr3:uid="{B613FEFE-AD3C-480C-BE77-C18178A218D1}" name="You Are Followed By" dataDxfId="28" dataCellStyle="Normal"/>
    <tableColumn id="52" xr3:uid="{5D93524B-0D3D-4B91-B74F-6C0E0E21B941}" name="You Are Following" dataDxfId="27" dataCellStyle="Normal"/>
    <tableColumn id="53" xr3:uid="{C9D69B58-1556-4885-96DA-AAED9B94E33E}" name="Can DM" dataDxfId="26" dataCellStyle="Normal"/>
    <tableColumn id="54" xr3:uid="{FBC17433-0546-4B51-A384-0F5D63D2EB48}" name="Can Media Tag" dataDxfId="25" dataCellStyle="Normal"/>
    <tableColumn id="55" xr3:uid="{8BE9521E-F4D4-41BB-B0BE-F9A54735E575}" name="Default Profile" dataDxfId="24" dataCellStyle="Normal"/>
    <tableColumn id="56" xr3:uid="{E7C5DEC2-5417-4735-93EF-A74ABA3850E6}" name="Default Profile Image" dataDxfId="23" dataCellStyle="Normal"/>
    <tableColumn id="57" xr3:uid="{6F5303A6-B16B-451E-A1A0-2E32CE2A5636}" name="Has Custom Timelines" dataDxfId="22" dataCellStyle="Normal"/>
    <tableColumn id="58" xr3:uid="{3414C053-F197-458D-B5CF-F738D0758EFB}" name="Is Translator" dataDxfId="21" dataCellStyle="Normal"/>
    <tableColumn id="59" xr3:uid="{008D8E96-AFA3-40A5-BC4E-C2FB00ABE4E4}" name="Possibly Sensitive" dataDxfId="20" dataCellStyle="Normal"/>
    <tableColumn id="60" xr3:uid="{D9F3BC7A-E8BE-491F-9455-3B3B7AE3CB72}" name="Profile Banner URL" dataDxfId="19" dataCellStyle="Normal"/>
    <tableColumn id="61" xr3:uid="{8C75B9A3-430F-4C5D-8692-9F9B4E6B631B}" name="Profile Interstitial Type" dataDxfId="18" dataCellStyle="Normal"/>
    <tableColumn id="62" xr3:uid="{6935C3FF-259C-4F2D-9FA4-17ACB76A37F3}" name="Translator Type" dataDxfId="17" dataCellStyle="Normal"/>
    <tableColumn id="63" xr3:uid="{B459D062-0973-4FA4-B11D-AE2C86B21CBB}" name="Want Retweets" dataDxfId="16" dataCellStyle="Normal"/>
    <tableColumn id="64" xr3:uid="{E9AD707D-09E8-4227-A44D-976FCEE8BB1D}" name="Withheld" dataDxfId="15" dataCellStyle="Normal"/>
    <tableColumn id="65" xr3:uid="{DF4CE526-7F90-4B16-8918-8250AE807B70}" name="Tweeted Search Term?" dataDxfId="11" dataCellStyle="Normal"/>
    <tableColumn id="66" xr3:uid="{1468B33B-028D-4255-9BAD-D94156AC8DC1}" name="Custom Menu Item Text" dataDxfId="10" dataCellStyle="Normal"/>
    <tableColumn id="67" xr3:uid="{A485897D-EBCD-4E63-A8D7-B087E557F6AB}" name="Custom Menu Item Action" dataDxfId="9"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82">
  <autoFilter ref="A2:X3" xr:uid="{00000000-0009-0000-0100-000004000000}"/>
  <tableColumns count="24">
    <tableColumn id="1" xr3:uid="{00000000-0010-0000-0200-000001000000}" name="Group" dataDxfId="181" dataCellStyle="NodeXL Required"/>
    <tableColumn id="2" xr3:uid="{00000000-0010-0000-0200-000002000000}" name="Vertex Color" dataDxfId="180" dataCellStyle="NodeXL Visual Property"/>
    <tableColumn id="3" xr3:uid="{00000000-0010-0000-0200-000003000000}" name="Vertex Shape" dataDxfId="179" dataCellStyle="NodeXL Visual Property"/>
    <tableColumn id="22" xr3:uid="{00000000-0010-0000-0200-000016000000}" name="Visibility" dataDxfId="178" dataCellStyle="NodeXL Visual Property"/>
    <tableColumn id="4" xr3:uid="{00000000-0010-0000-0200-000004000000}" name="Collapsed?" dataCellStyle="NodeXL Visual Property"/>
    <tableColumn id="18" xr3:uid="{00000000-0010-0000-0200-000012000000}" name="Label" dataDxfId="177"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76" dataCellStyle="NodeXL Do Not Edit"/>
    <tableColumn id="19" xr3:uid="{00000000-0010-0000-0200-000013000000}" name="Collapsed Properties" dataDxfId="175" dataCellStyle="NodeXL Do Not Edit"/>
    <tableColumn id="5" xr3:uid="{00000000-0010-0000-0200-000005000000}" name="Vertices" dataDxfId="174" dataCellStyle="NodeXL Graph Metric"/>
    <tableColumn id="7" xr3:uid="{00000000-0010-0000-0200-000007000000}" name="Unique Edges" dataDxfId="173" dataCellStyle="NodeXL Graph Metric"/>
    <tableColumn id="8" xr3:uid="{00000000-0010-0000-0200-000008000000}" name="Edges With Duplicates" dataDxfId="172" dataCellStyle="NodeXL Graph Metric"/>
    <tableColumn id="9" xr3:uid="{00000000-0010-0000-0200-000009000000}" name="Total Edges" dataDxfId="171" dataCellStyle="NodeXL Graph Metric"/>
    <tableColumn id="10" xr3:uid="{00000000-0010-0000-0200-00000A000000}" name="Self-Loops" dataDxfId="170" dataCellStyle="NodeXL Graph Metric"/>
    <tableColumn id="24" xr3:uid="{00000000-0010-0000-0200-000018000000}" name="Reciprocated Vertex Pair Ratio" dataDxfId="169" dataCellStyle="NodeXL Graph Metric"/>
    <tableColumn id="25" xr3:uid="{00000000-0010-0000-0200-000019000000}" name="Reciprocated Edge Ratio" dataDxfId="168" dataCellStyle="NodeXL Graph Metric"/>
    <tableColumn id="11" xr3:uid="{00000000-0010-0000-0200-00000B000000}" name="Connected Components" dataDxfId="167" dataCellStyle="NodeXL Graph Metric"/>
    <tableColumn id="12" xr3:uid="{00000000-0010-0000-0200-00000C000000}" name="Single-Vertex Connected Components" dataDxfId="166" dataCellStyle="NodeXL Graph Metric"/>
    <tableColumn id="13" xr3:uid="{00000000-0010-0000-0200-00000D000000}" name="Maximum Vertices in a Connected Component" dataDxfId="165" dataCellStyle="NodeXL Graph Metric"/>
    <tableColumn id="14" xr3:uid="{00000000-0010-0000-0200-00000E000000}" name="Maximum Edges in a Connected Component" dataDxfId="164" dataCellStyle="NodeXL Graph Metric"/>
    <tableColumn id="15" xr3:uid="{00000000-0010-0000-0200-00000F000000}" name="Maximum Geodesic Distance (Diameter)" dataDxfId="163" dataCellStyle="NodeXL Graph Metric"/>
    <tableColumn id="16" xr3:uid="{00000000-0010-0000-0200-000010000000}" name="Average Geodesic Distance" dataDxfId="162" dataCellStyle="NodeXL Graph Metric"/>
    <tableColumn id="17" xr3:uid="{00000000-0010-0000-0200-000011000000}" name="Graph Density" dataDxfId="161"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60" dataDxfId="159">
  <autoFilter ref="A1:C2" xr:uid="{00000000-0009-0000-0100-000005000000}"/>
  <tableColumns count="3">
    <tableColumn id="1" xr3:uid="{00000000-0010-0000-0300-000001000000}" name="Group" dataDxfId="158"/>
    <tableColumn id="2" xr3:uid="{00000000-0010-0000-0300-000002000000}" name="Vertex" dataDxfId="157"/>
    <tableColumn id="3" xr3:uid="{00000000-0010-0000-0300-000003000000}" name="Vertex ID" dataDxfId="156"/>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5" dataCellStyle="NodeXL Graph Metric"/>
    <tableColumn id="2" xr3:uid="{00000000-0010-0000-0400-000002000000}" name="Value" dataDxfId="4"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55"/>
    <tableColumn id="2" xr3:uid="{00000000-0010-0000-0500-000002000000}" name="Degree Frequency" dataDxfId="154">
      <calculatedColumnFormula>COUNTIF(Vertices[Degree], "&gt;= " &amp; D2) - COUNTIF(Vertices[Degree], "&gt;=" &amp; D3)</calculatedColumnFormula>
    </tableColumn>
    <tableColumn id="3" xr3:uid="{00000000-0010-0000-0500-000003000000}" name="In-Degree Bin" dataDxfId="153"/>
    <tableColumn id="4" xr3:uid="{00000000-0010-0000-0500-000004000000}" name="In-Degree Frequency" dataDxfId="152">
      <calculatedColumnFormula>COUNTIF(Vertices[In-Degree], "&gt;= " &amp; F2) - COUNTIF(Vertices[In-Degree], "&gt;=" &amp; F3)</calculatedColumnFormula>
    </tableColumn>
    <tableColumn id="5" xr3:uid="{00000000-0010-0000-0500-000005000000}" name="Out-Degree Bin" dataDxfId="151"/>
    <tableColumn id="6" xr3:uid="{00000000-0010-0000-0500-000006000000}" name="Out-Degree Frequency" dataDxfId="150">
      <calculatedColumnFormula>COUNTIF(Vertices[Out-Degree], "&gt;= " &amp; H2) - COUNTIF(Vertices[Out-Degree], "&gt;=" &amp; H3)</calculatedColumnFormula>
    </tableColumn>
    <tableColumn id="7" xr3:uid="{00000000-0010-0000-0500-000007000000}" name="Betweenness Centrality Bin" dataDxfId="149"/>
    <tableColumn id="8" xr3:uid="{00000000-0010-0000-0500-000008000000}" name="Betweenness Centrality Frequency" dataDxfId="148">
      <calculatedColumnFormula>COUNTIF(Vertices[Betweenness Centrality], "&gt;= " &amp; J2) - COUNTIF(Vertices[Betweenness Centrality], "&gt;=" &amp; J3)</calculatedColumnFormula>
    </tableColumn>
    <tableColumn id="9" xr3:uid="{00000000-0010-0000-0500-000009000000}" name="Closeness Centrality Bin" dataDxfId="147"/>
    <tableColumn id="10" xr3:uid="{00000000-0010-0000-0500-00000A000000}" name="Closeness Centrality Frequency" dataDxfId="146">
      <calculatedColumnFormula>COUNTIF(Vertices[Closeness Centrality], "&gt;= " &amp; L2) - COUNTIF(Vertices[Closeness Centrality], "&gt;=" &amp; L3)</calculatedColumnFormula>
    </tableColumn>
    <tableColumn id="11" xr3:uid="{00000000-0010-0000-0500-00000B000000}" name="Eigenvector Centrality Bin" dataDxfId="145"/>
    <tableColumn id="12" xr3:uid="{00000000-0010-0000-0500-00000C000000}" name="Eigenvector Centrality Frequency" dataDxfId="144">
      <calculatedColumnFormula>COUNTIF(Vertices[Eigenvector Centrality], "&gt;= " &amp; N2) - COUNTIF(Vertices[Eigenvector Centrality], "&gt;=" &amp; N3)</calculatedColumnFormula>
    </tableColumn>
    <tableColumn id="18" xr3:uid="{00000000-0010-0000-0500-000012000000}" name="PageRank Bin" dataDxfId="143"/>
    <tableColumn id="17" xr3:uid="{00000000-0010-0000-0500-000011000000}" name="PageRank Frequency" dataDxfId="142">
      <calculatedColumnFormula>COUNTIF(Vertices[Eigenvector Centrality], "&gt;= " &amp; P2) - COUNTIF(Vertices[Eigenvector Centrality], "&gt;=" &amp; P3)</calculatedColumnFormula>
    </tableColumn>
    <tableColumn id="13" xr3:uid="{00000000-0010-0000-0500-00000D000000}" name="Clustering Coefficient Bin" dataDxfId="141"/>
    <tableColumn id="14" xr3:uid="{00000000-0010-0000-0500-00000E000000}" name="Clustering Coefficient Frequency" dataDxfId="140">
      <calculatedColumnFormula>COUNTIF(Vertices[Clustering Coefficient], "&gt;= " &amp; R2) - COUNTIF(Vertices[Clustering Coefficient], "&gt;=" &amp; R3)</calculatedColumnFormula>
    </tableColumn>
    <tableColumn id="15" xr3:uid="{00000000-0010-0000-0500-00000F000000}" name="Dynamic Filter Bin" dataDxfId="139"/>
    <tableColumn id="16" xr3:uid="{00000000-0010-0000-0500-000010000000}" name="Dynamic Filter Frequency" dataDxfId="13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1" insertRow="1" totalsRowShown="0" dataCellStyle="NodeXL Graph Metric">
  <autoFilter ref="A60:B61"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37">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I993"/>
  <sheetViews>
    <sheetView workbookViewId="0">
      <pane xSplit="2" ySplit="2" topLeftCell="C3" activePane="bottomRight" state="frozen"/>
      <selection pane="topRight" activeCell="C1" sqref="C1"/>
      <selection pane="bottomLeft" activeCell="A3" sqref="A3"/>
      <selection pane="bottomRight" activeCell="P4" sqref="P4"/>
    </sheetView>
  </sheetViews>
  <sheetFormatPr defaultRowHeight="15" x14ac:dyDescent="0.25"/>
  <cols>
    <col min="1" max="2" width="10.42578125" style="1" customWidth="1"/>
    <col min="3" max="3" width="7.85546875" bestFit="1" customWidth="1"/>
    <col min="4" max="4" width="8.7109375" style="2" bestFit="1" customWidth="1"/>
    <col min="5" max="5" width="7.7109375" style="2" bestFit="1" customWidth="1"/>
    <col min="6" max="6" width="9.85546875" style="2" bestFit="1" customWidth="1"/>
    <col min="7" max="7" width="11" bestFit="1" customWidth="1"/>
    <col min="8" max="8" width="8" style="1" bestFit="1" customWidth="1"/>
    <col min="9" max="9" width="12.28515625" bestFit="1" customWidth="1"/>
    <col min="10" max="10" width="12.42578125" bestFit="1" customWidth="1"/>
    <col min="11" max="11" width="15.5703125" hidden="1" customWidth="1"/>
    <col min="12" max="12" width="11" hidden="1" customWidth="1"/>
    <col min="13" max="13" width="10.85546875" hidden="1" customWidth="1"/>
    <col min="14" max="14" width="16" bestFit="1" customWidth="1"/>
    <col min="15" max="15" width="12.7109375" bestFit="1" customWidth="1"/>
    <col min="16" max="16" width="15.85546875" bestFit="1" customWidth="1"/>
    <col min="17" max="17" width="8.85546875" bestFit="1" customWidth="1"/>
    <col min="18" max="18" width="10.85546875" bestFit="1" customWidth="1"/>
    <col min="19" max="19" width="10.5703125" bestFit="1" customWidth="1"/>
    <col min="20" max="20" width="8.5703125" bestFit="1" customWidth="1"/>
    <col min="21" max="21" width="8.85546875" bestFit="1" customWidth="1"/>
    <col min="22" max="22" width="13.140625" bestFit="1" customWidth="1"/>
    <col min="23" max="23" width="13.28515625" bestFit="1" customWidth="1"/>
    <col min="24" max="24" width="9.5703125" bestFit="1" customWidth="1"/>
    <col min="25" max="25" width="13.140625" bestFit="1" customWidth="1"/>
    <col min="26" max="26" width="13.85546875" bestFit="1" customWidth="1"/>
    <col min="27" max="27" width="11" bestFit="1" customWidth="1"/>
    <col min="28" max="28" width="8.85546875" bestFit="1" customWidth="1"/>
    <col min="29" max="29" width="9.28515625" bestFit="1" customWidth="1"/>
    <col min="30" max="30" width="11.5703125" bestFit="1" customWidth="1"/>
    <col min="31" max="31" width="14.42578125" bestFit="1" customWidth="1"/>
    <col min="32" max="32" width="13.42578125" bestFit="1" customWidth="1"/>
    <col min="33" max="33" width="7.42578125" bestFit="1" customWidth="1"/>
    <col min="34" max="34" width="7.7109375" bestFit="1" customWidth="1"/>
    <col min="35" max="35" width="11.42578125" bestFit="1" customWidth="1"/>
    <col min="36" max="36" width="17" bestFit="1" customWidth="1"/>
    <col min="37" max="37" width="10.28515625" bestFit="1" customWidth="1"/>
    <col min="38" max="38" width="15.5703125" bestFit="1" customWidth="1"/>
    <col min="39" max="39" width="11.7109375" bestFit="1" customWidth="1"/>
    <col min="40" max="40" width="10.28515625" bestFit="1" customWidth="1"/>
    <col min="41" max="41" width="8.5703125" bestFit="1" customWidth="1"/>
    <col min="42" max="42" width="8" bestFit="1" customWidth="1"/>
    <col min="43" max="43" width="8.85546875" bestFit="1" customWidth="1"/>
    <col min="44" max="44" width="17.140625" bestFit="1" customWidth="1"/>
    <col min="46" max="46" width="8.85546875" bestFit="1" customWidth="1"/>
    <col min="47" max="47" width="13.85546875" bestFit="1" customWidth="1"/>
    <col min="48" max="48" width="14.7109375" bestFit="1" customWidth="1"/>
    <col min="49" max="49" width="11.5703125" bestFit="1" customWidth="1"/>
    <col min="50" max="50" width="12.7109375" bestFit="1" customWidth="1"/>
    <col min="51" max="52" width="13" bestFit="1" customWidth="1"/>
    <col min="53" max="53" width="11" bestFit="1" customWidth="1"/>
    <col min="54" max="54" width="13.140625" bestFit="1" customWidth="1"/>
    <col min="55" max="55" width="12" bestFit="1" customWidth="1"/>
    <col min="56" max="56" width="11.7109375" bestFit="1" customWidth="1"/>
    <col min="57" max="57" width="9" bestFit="1" customWidth="1"/>
    <col min="58" max="58" width="10.28515625" bestFit="1" customWidth="1"/>
    <col min="59" max="59" width="11" bestFit="1" customWidth="1"/>
    <col min="60" max="60" width="10.42578125" bestFit="1" customWidth="1"/>
    <col min="61" max="61" width="13" bestFit="1" customWidth="1"/>
  </cols>
  <sheetData>
    <row r="1" spans="1:61" x14ac:dyDescent="0.25">
      <c r="C1" s="15" t="s">
        <v>39</v>
      </c>
      <c r="D1" s="16"/>
      <c r="E1" s="16"/>
      <c r="F1" s="16"/>
      <c r="G1" s="15"/>
      <c r="H1" s="13" t="s">
        <v>43</v>
      </c>
      <c r="I1" s="50"/>
      <c r="J1" s="50"/>
      <c r="K1" s="31" t="s">
        <v>42</v>
      </c>
      <c r="L1" s="17" t="s">
        <v>40</v>
      </c>
      <c r="M1" s="17"/>
      <c r="N1" s="14" t="s">
        <v>41</v>
      </c>
    </row>
    <row r="2" spans="1:61" ht="30" customHeight="1" x14ac:dyDescent="0.25">
      <c r="A2" s="10" t="s">
        <v>0</v>
      </c>
      <c r="B2" s="10" t="s">
        <v>1</v>
      </c>
      <c r="C2" s="7" t="s">
        <v>2</v>
      </c>
      <c r="D2" s="7" t="s">
        <v>3</v>
      </c>
      <c r="E2" s="7" t="s">
        <v>130</v>
      </c>
      <c r="F2" s="7" t="s">
        <v>4</v>
      </c>
      <c r="G2" s="7" t="s">
        <v>11</v>
      </c>
      <c r="H2" s="10" t="s">
        <v>46</v>
      </c>
      <c r="I2" s="7" t="s">
        <v>160</v>
      </c>
      <c r="J2" s="7" t="s">
        <v>161</v>
      </c>
      <c r="K2" s="7" t="s">
        <v>165</v>
      </c>
      <c r="L2" s="7" t="s">
        <v>12</v>
      </c>
      <c r="M2" s="7" t="s">
        <v>38</v>
      </c>
      <c r="N2" s="7" t="s">
        <v>26</v>
      </c>
      <c r="O2" s="7" t="s">
        <v>177</v>
      </c>
      <c r="P2" s="7" t="s">
        <v>178</v>
      </c>
      <c r="Q2" s="7" t="s">
        <v>179</v>
      </c>
      <c r="R2" s="7" t="s">
        <v>180</v>
      </c>
      <c r="S2" s="7" t="s">
        <v>181</v>
      </c>
      <c r="T2" s="7" t="s">
        <v>182</v>
      </c>
      <c r="U2" s="7" t="s">
        <v>183</v>
      </c>
      <c r="V2" s="7" t="s">
        <v>184</v>
      </c>
      <c r="W2" s="7" t="s">
        <v>185</v>
      </c>
      <c r="X2" s="7" t="s">
        <v>186</v>
      </c>
      <c r="Y2" s="7" t="s">
        <v>187</v>
      </c>
      <c r="Z2" s="7" t="s">
        <v>188</v>
      </c>
      <c r="AA2" s="7" t="s">
        <v>189</v>
      </c>
      <c r="AB2" s="7" t="s">
        <v>190</v>
      </c>
      <c r="AC2" s="7" t="s">
        <v>191</v>
      </c>
      <c r="AD2" s="7" t="s">
        <v>192</v>
      </c>
      <c r="AE2" s="7" t="s">
        <v>193</v>
      </c>
      <c r="AF2" s="7" t="s">
        <v>194</v>
      </c>
      <c r="AG2" s="7" t="s">
        <v>195</v>
      </c>
      <c r="AH2" s="7" t="s">
        <v>196</v>
      </c>
      <c r="AI2" s="7" t="s">
        <v>197</v>
      </c>
      <c r="AJ2" s="7" t="s">
        <v>198</v>
      </c>
      <c r="AK2" s="7" t="s">
        <v>199</v>
      </c>
      <c r="AL2" s="7" t="s">
        <v>200</v>
      </c>
      <c r="AM2" s="7" t="s">
        <v>201</v>
      </c>
      <c r="AN2" s="7" t="s">
        <v>202</v>
      </c>
      <c r="AO2" s="7" t="s">
        <v>203</v>
      </c>
      <c r="AP2" s="7" t="s">
        <v>204</v>
      </c>
      <c r="AQ2" s="7" t="s">
        <v>205</v>
      </c>
      <c r="AR2" s="7" t="s">
        <v>206</v>
      </c>
      <c r="AS2" s="7" t="s">
        <v>207</v>
      </c>
      <c r="AT2" s="7" t="s">
        <v>208</v>
      </c>
      <c r="AU2" s="7" t="s">
        <v>209</v>
      </c>
      <c r="AV2" s="7" t="s">
        <v>210</v>
      </c>
      <c r="AW2" s="7" t="s">
        <v>211</v>
      </c>
      <c r="AX2" s="7" t="s">
        <v>212</v>
      </c>
      <c r="AY2" s="7" t="s">
        <v>213</v>
      </c>
      <c r="AZ2" s="7" t="s">
        <v>214</v>
      </c>
      <c r="BA2" s="7" t="s">
        <v>215</v>
      </c>
      <c r="BB2" s="7" t="s">
        <v>216</v>
      </c>
      <c r="BC2" s="7" t="s">
        <v>217</v>
      </c>
      <c r="BD2" s="7" t="s">
        <v>218</v>
      </c>
      <c r="BE2" s="7" t="s">
        <v>219</v>
      </c>
      <c r="BF2" s="7" t="s">
        <v>220</v>
      </c>
      <c r="BG2" s="7" t="s">
        <v>221</v>
      </c>
      <c r="BH2" s="7" t="s">
        <v>222</v>
      </c>
      <c r="BI2" s="7" t="s">
        <v>223</v>
      </c>
    </row>
    <row r="3" spans="1:61" ht="15" customHeight="1" x14ac:dyDescent="0.25">
      <c r="A3" s="62" t="s">
        <v>224</v>
      </c>
      <c r="B3" s="62" t="s">
        <v>582</v>
      </c>
      <c r="C3" s="63"/>
      <c r="D3" s="64"/>
      <c r="E3" s="65"/>
      <c r="F3" s="66"/>
      <c r="G3" s="63"/>
      <c r="H3" s="67"/>
      <c r="I3" s="68"/>
      <c r="J3" s="68"/>
      <c r="K3" s="32"/>
      <c r="L3" s="69">
        <v>3</v>
      </c>
      <c r="M3" s="69"/>
      <c r="N3" s="70"/>
      <c r="O3" s="76" t="s">
        <v>586</v>
      </c>
      <c r="P3" s="78">
        <v>44947.167141203703</v>
      </c>
      <c r="Q3" s="76" t="s">
        <v>1537</v>
      </c>
      <c r="R3" s="76">
        <v>0</v>
      </c>
      <c r="S3" s="76">
        <v>0</v>
      </c>
      <c r="T3" s="76">
        <v>0</v>
      </c>
      <c r="U3" s="76">
        <v>0</v>
      </c>
      <c r="V3" s="76">
        <v>16</v>
      </c>
      <c r="W3" s="81" t="s">
        <v>2119</v>
      </c>
      <c r="X3" s="76"/>
      <c r="Y3" s="76"/>
      <c r="Z3" s="76" t="s">
        <v>582</v>
      </c>
      <c r="AA3" s="76" t="s">
        <v>2712</v>
      </c>
      <c r="AB3" s="76" t="s">
        <v>2713</v>
      </c>
      <c r="AC3" s="81" t="s">
        <v>2719</v>
      </c>
      <c r="AD3" s="76" t="s">
        <v>2752</v>
      </c>
      <c r="AE3" s="83" t="str">
        <f>HYPERLINK("https://twitter.com/menteblindados/status/1616646940229513223")</f>
        <v>https://twitter.com/menteblindados/status/1616646940229513223</v>
      </c>
      <c r="AF3" s="78">
        <v>44947.167141203703</v>
      </c>
      <c r="AG3" s="84">
        <v>44947</v>
      </c>
      <c r="AH3" s="81" t="s">
        <v>3733</v>
      </c>
      <c r="AI3" s="76" t="b">
        <v>0</v>
      </c>
      <c r="AJ3" s="76"/>
      <c r="AK3" s="76"/>
      <c r="AL3" s="76"/>
      <c r="AM3" s="76"/>
      <c r="AN3" s="76"/>
      <c r="AO3" s="76"/>
      <c r="AP3" s="76"/>
      <c r="AQ3" s="76" t="s">
        <v>4338</v>
      </c>
      <c r="AR3" s="76">
        <v>8900</v>
      </c>
      <c r="AS3" s="76"/>
      <c r="AT3" s="76"/>
      <c r="AU3" s="76"/>
      <c r="AV3" s="83" t="str">
        <f>HYPERLINK("https://pbs.twimg.com/ext_tw_video_thumb/1616646907312439300/pu/img/7QZ8oBW1RHv1Rrjn.jpg")</f>
        <v>https://pbs.twimg.com/ext_tw_video_thumb/1616646907312439300/pu/img/7QZ8oBW1RHv1Rrjn.jpg</v>
      </c>
      <c r="AW3" s="81" t="s">
        <v>5325</v>
      </c>
      <c r="AX3" s="81" t="s">
        <v>5325</v>
      </c>
      <c r="AY3" s="76"/>
      <c r="AZ3" s="81" t="s">
        <v>5615</v>
      </c>
      <c r="BA3" s="81" t="s">
        <v>5615</v>
      </c>
      <c r="BB3" s="81" t="s">
        <v>5615</v>
      </c>
      <c r="BC3" s="81" t="s">
        <v>5325</v>
      </c>
      <c r="BD3" s="81" t="s">
        <v>5848</v>
      </c>
      <c r="BE3" s="76"/>
      <c r="BF3" s="76"/>
      <c r="BG3" s="76"/>
      <c r="BH3" s="76"/>
      <c r="BI3" s="76"/>
    </row>
    <row r="4" spans="1:61" ht="15" customHeight="1" x14ac:dyDescent="0.25">
      <c r="A4" s="62" t="s">
        <v>224</v>
      </c>
      <c r="B4" s="62" t="s">
        <v>224</v>
      </c>
      <c r="C4" s="63"/>
      <c r="D4" s="64"/>
      <c r="E4" s="65"/>
      <c r="F4" s="66"/>
      <c r="G4" s="63"/>
      <c r="H4" s="67"/>
      <c r="I4" s="68"/>
      <c r="J4" s="68"/>
      <c r="K4" s="32"/>
      <c r="L4" s="75">
        <v>4</v>
      </c>
      <c r="M4" s="75"/>
      <c r="N4" s="70"/>
      <c r="O4" s="77" t="s">
        <v>179</v>
      </c>
      <c r="P4" s="79">
        <v>44947.156793981485</v>
      </c>
      <c r="Q4" s="77" t="s">
        <v>588</v>
      </c>
      <c r="R4" s="77">
        <v>0</v>
      </c>
      <c r="S4" s="77">
        <v>1</v>
      </c>
      <c r="T4" s="77">
        <v>0</v>
      </c>
      <c r="U4" s="77">
        <v>0</v>
      </c>
      <c r="V4" s="77">
        <v>24</v>
      </c>
      <c r="W4" s="82" t="s">
        <v>1538</v>
      </c>
      <c r="X4" s="77"/>
      <c r="Y4" s="77"/>
      <c r="Z4" s="77"/>
      <c r="AA4" s="77" t="s">
        <v>2184</v>
      </c>
      <c r="AB4" s="77" t="s">
        <v>2713</v>
      </c>
      <c r="AC4" s="82" t="s">
        <v>2719</v>
      </c>
      <c r="AD4" s="77" t="s">
        <v>2751</v>
      </c>
      <c r="AE4" s="80" t="str">
        <f>HYPERLINK("https://twitter.com/menteblindados/status/1616643193059299328")</f>
        <v>https://twitter.com/menteblindados/status/1616643193059299328</v>
      </c>
      <c r="AF4" s="79">
        <v>44947.156793981485</v>
      </c>
      <c r="AG4" s="85">
        <v>44947</v>
      </c>
      <c r="AH4" s="82" t="s">
        <v>2764</v>
      </c>
      <c r="AI4" s="77" t="b">
        <v>0</v>
      </c>
      <c r="AJ4" s="77"/>
      <c r="AK4" s="77"/>
      <c r="AL4" s="77"/>
      <c r="AM4" s="77"/>
      <c r="AN4" s="77"/>
      <c r="AO4" s="77"/>
      <c r="AP4" s="77"/>
      <c r="AQ4" s="77" t="s">
        <v>3810</v>
      </c>
      <c r="AR4" s="77">
        <v>14133</v>
      </c>
      <c r="AS4" s="77"/>
      <c r="AT4" s="77"/>
      <c r="AU4" s="77"/>
      <c r="AV4" s="80" t="str">
        <f>HYPERLINK("https://pbs.twimg.com/ext_tw_video_thumb/1616643124406755329/pu/img/IWwTrxFJXp40Z4bp.jpg")</f>
        <v>https://pbs.twimg.com/ext_tw_video_thumb/1616643124406755329/pu/img/IWwTrxFJXp40Z4bp.jpg</v>
      </c>
      <c r="AW4" s="82" t="s">
        <v>4339</v>
      </c>
      <c r="AX4" s="82" t="s">
        <v>4339</v>
      </c>
      <c r="AY4" s="77"/>
      <c r="AZ4" s="82" t="s">
        <v>5615</v>
      </c>
      <c r="BA4" s="82" t="s">
        <v>5615</v>
      </c>
      <c r="BB4" s="82" t="s">
        <v>5615</v>
      </c>
      <c r="BC4" s="82" t="s">
        <v>4339</v>
      </c>
      <c r="BD4" s="82" t="s">
        <v>5848</v>
      </c>
      <c r="BE4" s="77"/>
      <c r="BF4" s="77"/>
      <c r="BG4" s="77"/>
      <c r="BH4" s="77"/>
      <c r="BI4" s="77"/>
    </row>
    <row r="5" spans="1:61" x14ac:dyDescent="0.25">
      <c r="A5" s="62" t="s">
        <v>225</v>
      </c>
      <c r="B5" s="62" t="s">
        <v>225</v>
      </c>
      <c r="C5" s="63"/>
      <c r="D5" s="64"/>
      <c r="E5" s="65"/>
      <c r="F5" s="66"/>
      <c r="G5" s="63"/>
      <c r="H5" s="67"/>
      <c r="I5" s="68"/>
      <c r="J5" s="68"/>
      <c r="K5" s="32"/>
      <c r="L5" s="75">
        <v>5</v>
      </c>
      <c r="M5" s="75"/>
      <c r="N5" s="70"/>
      <c r="O5" s="77" t="s">
        <v>179</v>
      </c>
      <c r="P5" s="79">
        <v>45127.77547453704</v>
      </c>
      <c r="Q5" s="77" t="s">
        <v>589</v>
      </c>
      <c r="R5" s="77">
        <v>0</v>
      </c>
      <c r="S5" s="77">
        <v>0</v>
      </c>
      <c r="T5" s="77">
        <v>0</v>
      </c>
      <c r="U5" s="77">
        <v>0</v>
      </c>
      <c r="V5" s="77">
        <v>20</v>
      </c>
      <c r="W5" s="82" t="s">
        <v>1539</v>
      </c>
      <c r="X5" s="77"/>
      <c r="Y5" s="77"/>
      <c r="Z5" s="77"/>
      <c r="AA5" s="77"/>
      <c r="AB5" s="77"/>
      <c r="AC5" s="82" t="s">
        <v>2720</v>
      </c>
      <c r="AD5" s="77" t="s">
        <v>2752</v>
      </c>
      <c r="AE5" s="80" t="str">
        <f>HYPERLINK("https://twitter.com/thiagoireland/status/1682097208659673089")</f>
        <v>https://twitter.com/thiagoireland/status/1682097208659673089</v>
      </c>
      <c r="AF5" s="79">
        <v>45127.77547453704</v>
      </c>
      <c r="AG5" s="85">
        <v>45127</v>
      </c>
      <c r="AH5" s="82" t="s">
        <v>2765</v>
      </c>
      <c r="AI5" s="77"/>
      <c r="AJ5" s="77"/>
      <c r="AK5" s="77"/>
      <c r="AL5" s="77"/>
      <c r="AM5" s="77"/>
      <c r="AN5" s="77"/>
      <c r="AO5" s="77"/>
      <c r="AP5" s="77"/>
      <c r="AQ5" s="77"/>
      <c r="AR5" s="77"/>
      <c r="AS5" s="77"/>
      <c r="AT5" s="77"/>
      <c r="AU5" s="77"/>
      <c r="AV5" s="80" t="str">
        <f>HYPERLINK("https://pbs.twimg.com/profile_images/1674078476616323072/gjYRjmaG_normal.png")</f>
        <v>https://pbs.twimg.com/profile_images/1674078476616323072/gjYRjmaG_normal.png</v>
      </c>
      <c r="AW5" s="82" t="s">
        <v>4340</v>
      </c>
      <c r="AX5" s="82" t="s">
        <v>4340</v>
      </c>
      <c r="AY5" s="77"/>
      <c r="AZ5" s="82" t="s">
        <v>5615</v>
      </c>
      <c r="BA5" s="82" t="s">
        <v>5615</v>
      </c>
      <c r="BB5" s="82" t="s">
        <v>5615</v>
      </c>
      <c r="BC5" s="82" t="s">
        <v>4340</v>
      </c>
      <c r="BD5" s="82" t="s">
        <v>5849</v>
      </c>
      <c r="BE5" s="77"/>
      <c r="BF5" s="77"/>
      <c r="BG5" s="77"/>
      <c r="BH5" s="77"/>
      <c r="BI5" s="77"/>
    </row>
    <row r="6" spans="1:61" x14ac:dyDescent="0.25">
      <c r="A6" s="62" t="s">
        <v>226</v>
      </c>
      <c r="B6" s="62" t="s">
        <v>226</v>
      </c>
      <c r="C6" s="63"/>
      <c r="D6" s="64"/>
      <c r="E6" s="65"/>
      <c r="F6" s="66"/>
      <c r="G6" s="63"/>
      <c r="H6" s="67"/>
      <c r="I6" s="68"/>
      <c r="J6" s="68"/>
      <c r="K6" s="32"/>
      <c r="L6" s="75">
        <v>6</v>
      </c>
      <c r="M6" s="75"/>
      <c r="N6" s="70"/>
      <c r="O6" s="77" t="s">
        <v>179</v>
      </c>
      <c r="P6" s="79">
        <v>44954.104444444441</v>
      </c>
      <c r="Q6" s="77" t="s">
        <v>590</v>
      </c>
      <c r="R6" s="77">
        <v>0</v>
      </c>
      <c r="S6" s="77">
        <v>0</v>
      </c>
      <c r="T6" s="77">
        <v>0</v>
      </c>
      <c r="U6" s="77">
        <v>0</v>
      </c>
      <c r="V6" s="77">
        <v>52</v>
      </c>
      <c r="W6" s="82" t="s">
        <v>1540</v>
      </c>
      <c r="X6" s="77"/>
      <c r="Y6" s="77"/>
      <c r="Z6" s="77"/>
      <c r="AA6" s="77" t="s">
        <v>2185</v>
      </c>
      <c r="AB6" s="77" t="s">
        <v>2713</v>
      </c>
      <c r="AC6" s="82" t="s">
        <v>2720</v>
      </c>
      <c r="AD6" s="77" t="s">
        <v>2752</v>
      </c>
      <c r="AE6" s="80" t="str">
        <f>HYPERLINK("https://twitter.com/jhonatanlima0/status/1619160937843535872")</f>
        <v>https://twitter.com/jhonatanlima0/status/1619160937843535872</v>
      </c>
      <c r="AF6" s="79">
        <v>44954.104444444441</v>
      </c>
      <c r="AG6" s="85">
        <v>44954</v>
      </c>
      <c r="AH6" s="82" t="s">
        <v>2766</v>
      </c>
      <c r="AI6" s="77" t="b">
        <v>0</v>
      </c>
      <c r="AJ6" s="77"/>
      <c r="AK6" s="77"/>
      <c r="AL6" s="77"/>
      <c r="AM6" s="77"/>
      <c r="AN6" s="77"/>
      <c r="AO6" s="77"/>
      <c r="AP6" s="77"/>
      <c r="AQ6" s="77" t="s">
        <v>3811</v>
      </c>
      <c r="AR6" s="77">
        <v>38266</v>
      </c>
      <c r="AS6" s="77"/>
      <c r="AT6" s="77"/>
      <c r="AU6" s="77"/>
      <c r="AV6" s="80" t="str">
        <f>HYPERLINK("https://pbs.twimg.com/ext_tw_video_thumb/1619160807035609095/pu/img/HJDtD5Wxs5zOzjpB.jpg")</f>
        <v>https://pbs.twimg.com/ext_tw_video_thumb/1619160807035609095/pu/img/HJDtD5Wxs5zOzjpB.jpg</v>
      </c>
      <c r="AW6" s="82" t="s">
        <v>4341</v>
      </c>
      <c r="AX6" s="82" t="s">
        <v>4341</v>
      </c>
      <c r="AY6" s="77"/>
      <c r="AZ6" s="82" t="s">
        <v>5615</v>
      </c>
      <c r="BA6" s="82" t="s">
        <v>5615</v>
      </c>
      <c r="BB6" s="82" t="s">
        <v>5615</v>
      </c>
      <c r="BC6" s="82" t="s">
        <v>4341</v>
      </c>
      <c r="BD6" s="82" t="s">
        <v>5850</v>
      </c>
      <c r="BE6" s="77"/>
      <c r="BF6" s="77"/>
      <c r="BG6" s="77"/>
      <c r="BH6" s="77"/>
      <c r="BI6" s="77"/>
    </row>
    <row r="7" spans="1:61" x14ac:dyDescent="0.25">
      <c r="A7" s="62" t="s">
        <v>227</v>
      </c>
      <c r="B7" s="62" t="s">
        <v>227</v>
      </c>
      <c r="C7" s="63"/>
      <c r="D7" s="64"/>
      <c r="E7" s="65"/>
      <c r="F7" s="66"/>
      <c r="G7" s="63"/>
      <c r="H7" s="67"/>
      <c r="I7" s="68"/>
      <c r="J7" s="68"/>
      <c r="K7" s="32"/>
      <c r="L7" s="75">
        <v>7</v>
      </c>
      <c r="M7" s="75"/>
      <c r="N7" s="70"/>
      <c r="O7" s="77" t="s">
        <v>179</v>
      </c>
      <c r="P7" s="79">
        <v>45108.45884259259</v>
      </c>
      <c r="Q7" s="77" t="s">
        <v>591</v>
      </c>
      <c r="R7" s="77">
        <v>2</v>
      </c>
      <c r="S7" s="77">
        <v>15</v>
      </c>
      <c r="T7" s="77">
        <v>0</v>
      </c>
      <c r="U7" s="77">
        <v>0</v>
      </c>
      <c r="V7" s="77">
        <v>3909</v>
      </c>
      <c r="W7" s="82" t="s">
        <v>1541</v>
      </c>
      <c r="X7" s="77"/>
      <c r="Y7" s="77"/>
      <c r="Z7" s="77"/>
      <c r="AA7" s="77" t="s">
        <v>2186</v>
      </c>
      <c r="AB7" s="77" t="s">
        <v>2714</v>
      </c>
      <c r="AC7" s="82" t="s">
        <v>2721</v>
      </c>
      <c r="AD7" s="77" t="s">
        <v>2753</v>
      </c>
      <c r="AE7" s="80" t="str">
        <f>HYPERLINK("https://twitter.com/mat_financeira/status/1675097098369355776")</f>
        <v>https://twitter.com/mat_financeira/status/1675097098369355776</v>
      </c>
      <c r="AF7" s="79">
        <v>45108.45884259259</v>
      </c>
      <c r="AG7" s="85">
        <v>45108</v>
      </c>
      <c r="AH7" s="82" t="s">
        <v>2767</v>
      </c>
      <c r="AI7" s="77" t="b">
        <v>0</v>
      </c>
      <c r="AJ7" s="77"/>
      <c r="AK7" s="77"/>
      <c r="AL7" s="77"/>
      <c r="AM7" s="77"/>
      <c r="AN7" s="77"/>
      <c r="AO7" s="77"/>
      <c r="AP7" s="77"/>
      <c r="AQ7" s="77" t="s">
        <v>3812</v>
      </c>
      <c r="AR7" s="77"/>
      <c r="AS7" s="77"/>
      <c r="AT7" s="77"/>
      <c r="AU7" s="77"/>
      <c r="AV7" s="80" t="str">
        <f>HYPERLINK("https://pbs.twimg.com/media/Fz8j7zaWwAAJqL8.jpg")</f>
        <v>https://pbs.twimg.com/media/Fz8j7zaWwAAJqL8.jpg</v>
      </c>
      <c r="AW7" s="82" t="s">
        <v>4342</v>
      </c>
      <c r="AX7" s="82" t="s">
        <v>4342</v>
      </c>
      <c r="AY7" s="77"/>
      <c r="AZ7" s="82" t="s">
        <v>5615</v>
      </c>
      <c r="BA7" s="82" t="s">
        <v>5615</v>
      </c>
      <c r="BB7" s="82" t="s">
        <v>5615</v>
      </c>
      <c r="BC7" s="82" t="s">
        <v>4342</v>
      </c>
      <c r="BD7" s="82" t="s">
        <v>5851</v>
      </c>
      <c r="BE7" s="77"/>
      <c r="BF7" s="77"/>
      <c r="BG7" s="77"/>
      <c r="BH7" s="77"/>
      <c r="BI7" s="77"/>
    </row>
    <row r="8" spans="1:61" x14ac:dyDescent="0.25">
      <c r="A8" s="62" t="s">
        <v>227</v>
      </c>
      <c r="B8" s="62" t="s">
        <v>227</v>
      </c>
      <c r="C8" s="63"/>
      <c r="D8" s="64"/>
      <c r="E8" s="65"/>
      <c r="F8" s="66"/>
      <c r="G8" s="63"/>
      <c r="H8" s="67"/>
      <c r="I8" s="68"/>
      <c r="J8" s="68"/>
      <c r="K8" s="32"/>
      <c r="L8" s="75">
        <v>8</v>
      </c>
      <c r="M8" s="75"/>
      <c r="N8" s="70"/>
      <c r="O8" s="77" t="s">
        <v>179</v>
      </c>
      <c r="P8" s="79">
        <v>45176.454861111109</v>
      </c>
      <c r="Q8" s="77" t="s">
        <v>592</v>
      </c>
      <c r="R8" s="77">
        <v>4</v>
      </c>
      <c r="S8" s="77">
        <v>26</v>
      </c>
      <c r="T8" s="77">
        <v>0</v>
      </c>
      <c r="U8" s="77">
        <v>0</v>
      </c>
      <c r="V8" s="77">
        <v>3240</v>
      </c>
      <c r="W8" s="82" t="s">
        <v>1542</v>
      </c>
      <c r="X8" s="77"/>
      <c r="Y8" s="77"/>
      <c r="Z8" s="77"/>
      <c r="AA8" s="77" t="s">
        <v>2187</v>
      </c>
      <c r="AB8" s="77" t="s">
        <v>2714</v>
      </c>
      <c r="AC8" s="82" t="s">
        <v>2722</v>
      </c>
      <c r="AD8" s="77" t="s">
        <v>2752</v>
      </c>
      <c r="AE8" s="80" t="str">
        <f>HYPERLINK("https://twitter.com/mat_financeira/status/1699738028321673512")</f>
        <v>https://twitter.com/mat_financeira/status/1699738028321673512</v>
      </c>
      <c r="AF8" s="79">
        <v>45176.454861111109</v>
      </c>
      <c r="AG8" s="85">
        <v>45176</v>
      </c>
      <c r="AH8" s="82" t="s">
        <v>2768</v>
      </c>
      <c r="AI8" s="77" t="b">
        <v>0</v>
      </c>
      <c r="AJ8" s="77"/>
      <c r="AK8" s="77"/>
      <c r="AL8" s="77"/>
      <c r="AM8" s="77"/>
      <c r="AN8" s="77"/>
      <c r="AO8" s="77"/>
      <c r="AP8" s="77"/>
      <c r="AQ8" s="77" t="s">
        <v>3813</v>
      </c>
      <c r="AR8" s="77"/>
      <c r="AS8" s="77"/>
      <c r="AT8" s="77"/>
      <c r="AU8" s="77"/>
      <c r="AV8" s="80" t="str">
        <f>HYPERLINK("https://pbs.twimg.com/media/F4jO31PXAAAsA-J.jpg")</f>
        <v>https://pbs.twimg.com/media/F4jO31PXAAAsA-J.jpg</v>
      </c>
      <c r="AW8" s="82" t="s">
        <v>4343</v>
      </c>
      <c r="AX8" s="82" t="s">
        <v>4343</v>
      </c>
      <c r="AY8" s="77"/>
      <c r="AZ8" s="82" t="s">
        <v>5615</v>
      </c>
      <c r="BA8" s="82" t="s">
        <v>5615</v>
      </c>
      <c r="BB8" s="82" t="s">
        <v>5615</v>
      </c>
      <c r="BC8" s="82" t="s">
        <v>4343</v>
      </c>
      <c r="BD8" s="82" t="s">
        <v>5851</v>
      </c>
      <c r="BE8" s="77"/>
      <c r="BF8" s="77"/>
      <c r="BG8" s="77"/>
      <c r="BH8" s="77"/>
      <c r="BI8" s="77"/>
    </row>
    <row r="9" spans="1:61" x14ac:dyDescent="0.25">
      <c r="A9" s="62" t="s">
        <v>227</v>
      </c>
      <c r="B9" s="62" t="s">
        <v>227</v>
      </c>
      <c r="C9" s="63"/>
      <c r="D9" s="64"/>
      <c r="E9" s="65"/>
      <c r="F9" s="66"/>
      <c r="G9" s="63"/>
      <c r="H9" s="67"/>
      <c r="I9" s="68"/>
      <c r="J9" s="68"/>
      <c r="K9" s="32"/>
      <c r="L9" s="75">
        <v>9</v>
      </c>
      <c r="M9" s="75"/>
      <c r="N9" s="70"/>
      <c r="O9" s="77" t="s">
        <v>179</v>
      </c>
      <c r="P9" s="79">
        <v>45166.447916666664</v>
      </c>
      <c r="Q9" s="77" t="s">
        <v>593</v>
      </c>
      <c r="R9" s="77">
        <v>9</v>
      </c>
      <c r="S9" s="77">
        <v>43</v>
      </c>
      <c r="T9" s="77">
        <v>2</v>
      </c>
      <c r="U9" s="77">
        <v>1</v>
      </c>
      <c r="V9" s="77">
        <v>4392</v>
      </c>
      <c r="W9" s="82" t="s">
        <v>1543</v>
      </c>
      <c r="X9" s="77"/>
      <c r="Y9" s="77"/>
      <c r="Z9" s="77"/>
      <c r="AA9" s="77" t="s">
        <v>2188</v>
      </c>
      <c r="AB9" s="77" t="s">
        <v>2714</v>
      </c>
      <c r="AC9" s="82" t="s">
        <v>2722</v>
      </c>
      <c r="AD9" s="77" t="s">
        <v>2752</v>
      </c>
      <c r="AE9" s="80" t="str">
        <f>HYPERLINK("https://twitter.com/mat_financeira/status/1696111633217536166")</f>
        <v>https://twitter.com/mat_financeira/status/1696111633217536166</v>
      </c>
      <c r="AF9" s="79">
        <v>45166.447916666664</v>
      </c>
      <c r="AG9" s="85">
        <v>45166</v>
      </c>
      <c r="AH9" s="82" t="s">
        <v>2769</v>
      </c>
      <c r="AI9" s="77" t="b">
        <v>0</v>
      </c>
      <c r="AJ9" s="77"/>
      <c r="AK9" s="77"/>
      <c r="AL9" s="77"/>
      <c r="AM9" s="77"/>
      <c r="AN9" s="77"/>
      <c r="AO9" s="77"/>
      <c r="AP9" s="77"/>
      <c r="AQ9" s="77" t="s">
        <v>3814</v>
      </c>
      <c r="AR9" s="77"/>
      <c r="AS9" s="77"/>
      <c r="AT9" s="77"/>
      <c r="AU9" s="77"/>
      <c r="AV9" s="80" t="str">
        <f>HYPERLINK("https://pbs.twimg.com/media/F4izdn6XsAAY9sB.jpg")</f>
        <v>https://pbs.twimg.com/media/F4izdn6XsAAY9sB.jpg</v>
      </c>
      <c r="AW9" s="82" t="s">
        <v>4344</v>
      </c>
      <c r="AX9" s="82" t="s">
        <v>4344</v>
      </c>
      <c r="AY9" s="77"/>
      <c r="AZ9" s="82" t="s">
        <v>5615</v>
      </c>
      <c r="BA9" s="82" t="s">
        <v>5615</v>
      </c>
      <c r="BB9" s="82" t="s">
        <v>5615</v>
      </c>
      <c r="BC9" s="82" t="s">
        <v>4344</v>
      </c>
      <c r="BD9" s="82" t="s">
        <v>5851</v>
      </c>
      <c r="BE9" s="77"/>
      <c r="BF9" s="77"/>
      <c r="BG9" s="77"/>
      <c r="BH9" s="77"/>
      <c r="BI9" s="77"/>
    </row>
    <row r="10" spans="1:61" x14ac:dyDescent="0.25">
      <c r="A10" s="62" t="s">
        <v>228</v>
      </c>
      <c r="B10" s="62" t="s">
        <v>228</v>
      </c>
      <c r="C10" s="63"/>
      <c r="D10" s="64"/>
      <c r="E10" s="65"/>
      <c r="F10" s="66"/>
      <c r="G10" s="63"/>
      <c r="H10" s="67"/>
      <c r="I10" s="68"/>
      <c r="J10" s="68"/>
      <c r="K10" s="32"/>
      <c r="L10" s="75">
        <v>10</v>
      </c>
      <c r="M10" s="75"/>
      <c r="N10" s="70"/>
      <c r="O10" s="77" t="s">
        <v>179</v>
      </c>
      <c r="P10" s="79">
        <v>45017.880752314813</v>
      </c>
      <c r="Q10" s="77" t="s">
        <v>594</v>
      </c>
      <c r="R10" s="77">
        <v>0</v>
      </c>
      <c r="S10" s="77">
        <v>1</v>
      </c>
      <c r="T10" s="77">
        <v>1</v>
      </c>
      <c r="U10" s="77">
        <v>0</v>
      </c>
      <c r="V10" s="77">
        <v>39</v>
      </c>
      <c r="W10" s="82" t="s">
        <v>1544</v>
      </c>
      <c r="X10" s="77"/>
      <c r="Y10" s="77"/>
      <c r="Z10" s="77"/>
      <c r="AA10" s="77" t="s">
        <v>2189</v>
      </c>
      <c r="AB10" s="77" t="s">
        <v>2714</v>
      </c>
      <c r="AC10" s="82" t="s">
        <v>2719</v>
      </c>
      <c r="AD10" s="77" t="s">
        <v>2754</v>
      </c>
      <c r="AE10" s="80" t="str">
        <f>HYPERLINK("https://twitter.com/investoom_com/status/1642272697794142208")</f>
        <v>https://twitter.com/investoom_com/status/1642272697794142208</v>
      </c>
      <c r="AF10" s="79">
        <v>45017.880752314813</v>
      </c>
      <c r="AG10" s="85">
        <v>45017</v>
      </c>
      <c r="AH10" s="82" t="s">
        <v>2770</v>
      </c>
      <c r="AI10" s="77" t="b">
        <v>0</v>
      </c>
      <c r="AJ10" s="77"/>
      <c r="AK10" s="77"/>
      <c r="AL10" s="77"/>
      <c r="AM10" s="77"/>
      <c r="AN10" s="77"/>
      <c r="AO10" s="77"/>
      <c r="AP10" s="77"/>
      <c r="AQ10" s="77" t="s">
        <v>3815</v>
      </c>
      <c r="AR10" s="77"/>
      <c r="AS10" s="77"/>
      <c r="AT10" s="77"/>
      <c r="AU10" s="77"/>
      <c r="AV10" s="80" t="str">
        <f>HYPERLINK("https://pbs.twimg.com/media/FsqGUHhXoAMHUAu.jpg")</f>
        <v>https://pbs.twimg.com/media/FsqGUHhXoAMHUAu.jpg</v>
      </c>
      <c r="AW10" s="82" t="s">
        <v>4345</v>
      </c>
      <c r="AX10" s="82" t="s">
        <v>4345</v>
      </c>
      <c r="AY10" s="77"/>
      <c r="AZ10" s="82" t="s">
        <v>5615</v>
      </c>
      <c r="BA10" s="82" t="s">
        <v>5615</v>
      </c>
      <c r="BB10" s="82" t="s">
        <v>5615</v>
      </c>
      <c r="BC10" s="82" t="s">
        <v>4345</v>
      </c>
      <c r="BD10" s="82" t="s">
        <v>5852</v>
      </c>
      <c r="BE10" s="77"/>
      <c r="BF10" s="77"/>
      <c r="BG10" s="77"/>
      <c r="BH10" s="77"/>
      <c r="BI10" s="77"/>
    </row>
    <row r="11" spans="1:61" x14ac:dyDescent="0.25">
      <c r="A11" s="62" t="s">
        <v>229</v>
      </c>
      <c r="B11" s="62" t="s">
        <v>229</v>
      </c>
      <c r="C11" s="63"/>
      <c r="D11" s="64"/>
      <c r="E11" s="65"/>
      <c r="F11" s="66"/>
      <c r="G11" s="63"/>
      <c r="H11" s="67"/>
      <c r="I11" s="68"/>
      <c r="J11" s="68"/>
      <c r="K11" s="32"/>
      <c r="L11" s="75">
        <v>11</v>
      </c>
      <c r="M11" s="75"/>
      <c r="N11" s="70"/>
      <c r="O11" s="77" t="s">
        <v>179</v>
      </c>
      <c r="P11" s="79">
        <v>44932.094490740739</v>
      </c>
      <c r="Q11" s="77" t="s">
        <v>595</v>
      </c>
      <c r="R11" s="77">
        <v>0</v>
      </c>
      <c r="S11" s="77">
        <v>0</v>
      </c>
      <c r="T11" s="77">
        <v>0</v>
      </c>
      <c r="U11" s="77">
        <v>0</v>
      </c>
      <c r="V11" s="77">
        <v>60</v>
      </c>
      <c r="W11" s="82" t="s">
        <v>1545</v>
      </c>
      <c r="X11" s="77"/>
      <c r="Y11" s="77"/>
      <c r="Z11" s="77"/>
      <c r="AA11" s="77" t="s">
        <v>2190</v>
      </c>
      <c r="AB11" s="77" t="s">
        <v>2714</v>
      </c>
      <c r="AC11" s="82" t="s">
        <v>2719</v>
      </c>
      <c r="AD11" s="77" t="s">
        <v>2752</v>
      </c>
      <c r="AE11" s="80" t="str">
        <f>HYPERLINK("https://twitter.com/ronysampaioadm/status/1611184797396922369")</f>
        <v>https://twitter.com/ronysampaioadm/status/1611184797396922369</v>
      </c>
      <c r="AF11" s="79">
        <v>44932.094490740739</v>
      </c>
      <c r="AG11" s="85">
        <v>44932</v>
      </c>
      <c r="AH11" s="82" t="s">
        <v>2771</v>
      </c>
      <c r="AI11" s="77" t="b">
        <v>0</v>
      </c>
      <c r="AJ11" s="77" t="s">
        <v>3734</v>
      </c>
      <c r="AK11" s="77" t="s">
        <v>3752</v>
      </c>
      <c r="AL11" s="77" t="s">
        <v>3755</v>
      </c>
      <c r="AM11" s="77" t="s">
        <v>3758</v>
      </c>
      <c r="AN11" s="77" t="s">
        <v>3774</v>
      </c>
      <c r="AO11" s="77" t="s">
        <v>3792</v>
      </c>
      <c r="AP11" s="77" t="s">
        <v>3808</v>
      </c>
      <c r="AQ11" s="77" t="s">
        <v>3816</v>
      </c>
      <c r="AR11" s="77"/>
      <c r="AS11" s="77"/>
      <c r="AT11" s="77"/>
      <c r="AU11" s="77"/>
      <c r="AV11" s="80" t="str">
        <f>HYPERLINK("https://pbs.twimg.com/media/FlwUCOZXkAEza0k.png")</f>
        <v>https://pbs.twimg.com/media/FlwUCOZXkAEza0k.png</v>
      </c>
      <c r="AW11" s="82" t="s">
        <v>4346</v>
      </c>
      <c r="AX11" s="82" t="s">
        <v>4346</v>
      </c>
      <c r="AY11" s="77"/>
      <c r="AZ11" s="82" t="s">
        <v>5615</v>
      </c>
      <c r="BA11" s="82" t="s">
        <v>5615</v>
      </c>
      <c r="BB11" s="82" t="s">
        <v>5615</v>
      </c>
      <c r="BC11" s="82" t="s">
        <v>4346</v>
      </c>
      <c r="BD11" s="82" t="s">
        <v>5853</v>
      </c>
      <c r="BE11" s="77"/>
      <c r="BF11" s="77"/>
      <c r="BG11" s="77"/>
      <c r="BH11" s="77"/>
      <c r="BI11" s="77"/>
    </row>
    <row r="12" spans="1:61" x14ac:dyDescent="0.25">
      <c r="A12" s="62" t="s">
        <v>230</v>
      </c>
      <c r="B12" s="62" t="s">
        <v>230</v>
      </c>
      <c r="C12" s="63"/>
      <c r="D12" s="64"/>
      <c r="E12" s="65"/>
      <c r="F12" s="66"/>
      <c r="G12" s="63"/>
      <c r="H12" s="67"/>
      <c r="I12" s="68"/>
      <c r="J12" s="68"/>
      <c r="K12" s="32"/>
      <c r="L12" s="75">
        <v>12</v>
      </c>
      <c r="M12" s="75"/>
      <c r="N12" s="70"/>
      <c r="O12" s="77" t="s">
        <v>179</v>
      </c>
      <c r="P12" s="79">
        <v>45188.622824074075</v>
      </c>
      <c r="Q12" s="77" t="s">
        <v>596</v>
      </c>
      <c r="R12" s="77">
        <v>0</v>
      </c>
      <c r="S12" s="77">
        <v>0</v>
      </c>
      <c r="T12" s="77">
        <v>0</v>
      </c>
      <c r="U12" s="77">
        <v>0</v>
      </c>
      <c r="V12" s="77">
        <v>4</v>
      </c>
      <c r="W12" s="82" t="s">
        <v>1546</v>
      </c>
      <c r="X12" s="77"/>
      <c r="Y12" s="77"/>
      <c r="Z12" s="77"/>
      <c r="AA12" s="77" t="s">
        <v>2191</v>
      </c>
      <c r="AB12" s="77" t="s">
        <v>2714</v>
      </c>
      <c r="AC12" s="82" t="s">
        <v>2719</v>
      </c>
      <c r="AD12" s="77" t="s">
        <v>2754</v>
      </c>
      <c r="AE12" s="80" t="str">
        <f>HYPERLINK("https://twitter.com/infohindi009/status/1704147551874863593")</f>
        <v>https://twitter.com/infohindi009/status/1704147551874863593</v>
      </c>
      <c r="AF12" s="79">
        <v>45188.622824074075</v>
      </c>
      <c r="AG12" s="85">
        <v>45188</v>
      </c>
      <c r="AH12" s="82" t="s">
        <v>2772</v>
      </c>
      <c r="AI12" s="77" t="b">
        <v>0</v>
      </c>
      <c r="AJ12" s="77"/>
      <c r="AK12" s="77"/>
      <c r="AL12" s="77"/>
      <c r="AM12" s="77"/>
      <c r="AN12" s="77"/>
      <c r="AO12" s="77"/>
      <c r="AP12" s="77"/>
      <c r="AQ12" s="77" t="s">
        <v>3817</v>
      </c>
      <c r="AR12" s="77"/>
      <c r="AS12" s="77"/>
      <c r="AT12" s="77"/>
      <c r="AU12" s="77"/>
      <c r="AV12" s="80" t="str">
        <f>HYPERLINK("https://pbs.twimg.com/media/F6ZZKTCb0AALCSI.jpg")</f>
        <v>https://pbs.twimg.com/media/F6ZZKTCb0AALCSI.jpg</v>
      </c>
      <c r="AW12" s="82" t="s">
        <v>4347</v>
      </c>
      <c r="AX12" s="82" t="s">
        <v>4347</v>
      </c>
      <c r="AY12" s="77"/>
      <c r="AZ12" s="82" t="s">
        <v>5615</v>
      </c>
      <c r="BA12" s="82" t="s">
        <v>5615</v>
      </c>
      <c r="BB12" s="82" t="s">
        <v>5615</v>
      </c>
      <c r="BC12" s="82" t="s">
        <v>4347</v>
      </c>
      <c r="BD12" s="82" t="s">
        <v>5854</v>
      </c>
      <c r="BE12" s="77"/>
      <c r="BF12" s="77"/>
      <c r="BG12" s="77"/>
      <c r="BH12" s="77"/>
      <c r="BI12" s="77"/>
    </row>
    <row r="13" spans="1:61" x14ac:dyDescent="0.25">
      <c r="A13" s="62" t="s">
        <v>231</v>
      </c>
      <c r="B13" s="62" t="s">
        <v>231</v>
      </c>
      <c r="C13" s="63"/>
      <c r="D13" s="64"/>
      <c r="E13" s="65"/>
      <c r="F13" s="66"/>
      <c r="G13" s="63"/>
      <c r="H13" s="67"/>
      <c r="I13" s="68"/>
      <c r="J13" s="68"/>
      <c r="K13" s="32"/>
      <c r="L13" s="75">
        <v>13</v>
      </c>
      <c r="M13" s="75"/>
      <c r="N13" s="70"/>
      <c r="O13" s="77" t="s">
        <v>179</v>
      </c>
      <c r="P13" s="79">
        <v>45127.756608796299</v>
      </c>
      <c r="Q13" s="77" t="s">
        <v>597</v>
      </c>
      <c r="R13" s="77">
        <v>1</v>
      </c>
      <c r="S13" s="77">
        <v>1</v>
      </c>
      <c r="T13" s="77">
        <v>0</v>
      </c>
      <c r="U13" s="77">
        <v>0</v>
      </c>
      <c r="V13" s="77">
        <v>37</v>
      </c>
      <c r="W13" s="82" t="s">
        <v>1547</v>
      </c>
      <c r="X13" s="77"/>
      <c r="Y13" s="77"/>
      <c r="Z13" s="77"/>
      <c r="AA13" s="77" t="s">
        <v>2192</v>
      </c>
      <c r="AB13" s="77" t="s">
        <v>2713</v>
      </c>
      <c r="AC13" s="82" t="s">
        <v>2720</v>
      </c>
      <c r="AD13" s="77" t="s">
        <v>2752</v>
      </c>
      <c r="AE13" s="80" t="str">
        <f>HYPERLINK("https://twitter.com/agcontador_/status/1682090373974204430")</f>
        <v>https://twitter.com/agcontador_/status/1682090373974204430</v>
      </c>
      <c r="AF13" s="79">
        <v>45127.756608796299</v>
      </c>
      <c r="AG13" s="85">
        <v>45127</v>
      </c>
      <c r="AH13" s="82" t="s">
        <v>2773</v>
      </c>
      <c r="AI13" s="77" t="b">
        <v>0</v>
      </c>
      <c r="AJ13" s="77"/>
      <c r="AK13" s="77"/>
      <c r="AL13" s="77"/>
      <c r="AM13" s="77"/>
      <c r="AN13" s="77"/>
      <c r="AO13" s="77"/>
      <c r="AP13" s="77"/>
      <c r="AQ13" s="77" t="s">
        <v>3818</v>
      </c>
      <c r="AR13" s="77">
        <v>27066</v>
      </c>
      <c r="AS13" s="77"/>
      <c r="AT13" s="77"/>
      <c r="AU13" s="77"/>
      <c r="AV13" s="80" t="str">
        <f>HYPERLINK("https://pbs.twimg.com/ext_tw_video_thumb/1682090308169768974/pu/img/IOQipNMpv40h0_y8.jpg")</f>
        <v>https://pbs.twimg.com/ext_tw_video_thumb/1682090308169768974/pu/img/IOQipNMpv40h0_y8.jpg</v>
      </c>
      <c r="AW13" s="82" t="s">
        <v>4348</v>
      </c>
      <c r="AX13" s="82" t="s">
        <v>4348</v>
      </c>
      <c r="AY13" s="77"/>
      <c r="AZ13" s="82" t="s">
        <v>5615</v>
      </c>
      <c r="BA13" s="82" t="s">
        <v>5615</v>
      </c>
      <c r="BB13" s="82" t="s">
        <v>5615</v>
      </c>
      <c r="BC13" s="82" t="s">
        <v>4348</v>
      </c>
      <c r="BD13" s="82" t="s">
        <v>5855</v>
      </c>
      <c r="BE13" s="77"/>
      <c r="BF13" s="77"/>
      <c r="BG13" s="77"/>
      <c r="BH13" s="77"/>
      <c r="BI13" s="77"/>
    </row>
    <row r="14" spans="1:61" x14ac:dyDescent="0.25">
      <c r="A14" s="62" t="s">
        <v>232</v>
      </c>
      <c r="B14" s="62" t="s">
        <v>232</v>
      </c>
      <c r="C14" s="63"/>
      <c r="D14" s="64"/>
      <c r="E14" s="65"/>
      <c r="F14" s="66"/>
      <c r="G14" s="63"/>
      <c r="H14" s="67"/>
      <c r="I14" s="68"/>
      <c r="J14" s="68"/>
      <c r="K14" s="32"/>
      <c r="L14" s="75">
        <v>14</v>
      </c>
      <c r="M14" s="75"/>
      <c r="N14" s="70"/>
      <c r="O14" s="77" t="s">
        <v>179</v>
      </c>
      <c r="P14" s="79">
        <v>45112.589328703703</v>
      </c>
      <c r="Q14" s="77" t="s">
        <v>598</v>
      </c>
      <c r="R14" s="77">
        <v>0</v>
      </c>
      <c r="S14" s="77">
        <v>1</v>
      </c>
      <c r="T14" s="77">
        <v>0</v>
      </c>
      <c r="U14" s="77">
        <v>0</v>
      </c>
      <c r="V14" s="77">
        <v>245</v>
      </c>
      <c r="W14" s="82" t="s">
        <v>1548</v>
      </c>
      <c r="X14" s="77"/>
      <c r="Y14" s="77"/>
      <c r="Z14" s="77"/>
      <c r="AA14" s="77" t="s">
        <v>2193</v>
      </c>
      <c r="AB14" s="77" t="s">
        <v>2713</v>
      </c>
      <c r="AC14" s="82" t="s">
        <v>2722</v>
      </c>
      <c r="AD14" s="77" t="s">
        <v>2755</v>
      </c>
      <c r="AE14" s="80" t="str">
        <f>HYPERLINK("https://twitter.com/radio_boreal/status/1676593935479721984")</f>
        <v>https://twitter.com/radio_boreal/status/1676593935479721984</v>
      </c>
      <c r="AF14" s="79">
        <v>45112.589328703703</v>
      </c>
      <c r="AG14" s="85">
        <v>45112</v>
      </c>
      <c r="AH14" s="82" t="s">
        <v>2774</v>
      </c>
      <c r="AI14" s="77" t="b">
        <v>0</v>
      </c>
      <c r="AJ14" s="77"/>
      <c r="AK14" s="77"/>
      <c r="AL14" s="77"/>
      <c r="AM14" s="77"/>
      <c r="AN14" s="77"/>
      <c r="AO14" s="77"/>
      <c r="AP14" s="77"/>
      <c r="AQ14" s="77" t="s">
        <v>3819</v>
      </c>
      <c r="AR14" s="77">
        <v>17000</v>
      </c>
      <c r="AS14" s="77"/>
      <c r="AT14" s="77"/>
      <c r="AU14" s="77"/>
      <c r="AV14" s="80" t="str">
        <f>HYPERLINK("https://pbs.twimg.com/ext_tw_video_thumb/1676593664712228864/pu/img/EZkBYiNAbxYfty2z.jpg")</f>
        <v>https://pbs.twimg.com/ext_tw_video_thumb/1676593664712228864/pu/img/EZkBYiNAbxYfty2z.jpg</v>
      </c>
      <c r="AW14" s="82" t="s">
        <v>4349</v>
      </c>
      <c r="AX14" s="82" t="s">
        <v>4349</v>
      </c>
      <c r="AY14" s="77"/>
      <c r="AZ14" s="82" t="s">
        <v>5615</v>
      </c>
      <c r="BA14" s="82" t="s">
        <v>5615</v>
      </c>
      <c r="BB14" s="82" t="s">
        <v>5615</v>
      </c>
      <c r="BC14" s="82" t="s">
        <v>4349</v>
      </c>
      <c r="BD14" s="82" t="s">
        <v>5856</v>
      </c>
      <c r="BE14" s="77"/>
      <c r="BF14" s="77"/>
      <c r="BG14" s="77"/>
      <c r="BH14" s="77"/>
      <c r="BI14" s="77"/>
    </row>
    <row r="15" spans="1:61" x14ac:dyDescent="0.25">
      <c r="A15" s="62" t="s">
        <v>233</v>
      </c>
      <c r="B15" s="62" t="s">
        <v>233</v>
      </c>
      <c r="C15" s="63"/>
      <c r="D15" s="64"/>
      <c r="E15" s="65"/>
      <c r="F15" s="66"/>
      <c r="G15" s="63"/>
      <c r="H15" s="67"/>
      <c r="I15" s="68"/>
      <c r="J15" s="68"/>
      <c r="K15" s="32"/>
      <c r="L15" s="75">
        <v>15</v>
      </c>
      <c r="M15" s="75"/>
      <c r="N15" s="70"/>
      <c r="O15" s="77" t="s">
        <v>583</v>
      </c>
      <c r="P15" s="79">
        <v>44958.555983796294</v>
      </c>
      <c r="Q15" s="77" t="s">
        <v>599</v>
      </c>
      <c r="R15" s="77">
        <v>0</v>
      </c>
      <c r="S15" s="77">
        <v>0</v>
      </c>
      <c r="T15" s="77">
        <v>0</v>
      </c>
      <c r="U15" s="77">
        <v>0</v>
      </c>
      <c r="V15" s="77">
        <v>35</v>
      </c>
      <c r="W15" s="82" t="s">
        <v>1549</v>
      </c>
      <c r="X15" s="77"/>
      <c r="Y15" s="77"/>
      <c r="Z15" s="77"/>
      <c r="AA15" s="77"/>
      <c r="AB15" s="77"/>
      <c r="AC15" s="82" t="s">
        <v>2722</v>
      </c>
      <c r="AD15" s="77" t="s">
        <v>2756</v>
      </c>
      <c r="AE15" s="80" t="str">
        <f>HYPERLINK("https://twitter.com/webtcoficial/status/1620774120505081857")</f>
        <v>https://twitter.com/webtcoficial/status/1620774120505081857</v>
      </c>
      <c r="AF15" s="79">
        <v>44958.555983796294</v>
      </c>
      <c r="AG15" s="85">
        <v>44958</v>
      </c>
      <c r="AH15" s="82" t="s">
        <v>2775</v>
      </c>
      <c r="AI15" s="77"/>
      <c r="AJ15" s="77"/>
      <c r="AK15" s="77"/>
      <c r="AL15" s="77"/>
      <c r="AM15" s="77"/>
      <c r="AN15" s="77"/>
      <c r="AO15" s="77"/>
      <c r="AP15" s="77"/>
      <c r="AQ15" s="77"/>
      <c r="AR15" s="77"/>
      <c r="AS15" s="77"/>
      <c r="AT15" s="77"/>
      <c r="AU15" s="77"/>
      <c r="AV15" s="80" t="str">
        <f>HYPERLINK("https://pbs.twimg.com/profile_images/1533150462186295300/XvsnzVW9_normal.jpg")</f>
        <v>https://pbs.twimg.com/profile_images/1533150462186295300/XvsnzVW9_normal.jpg</v>
      </c>
      <c r="AW15" s="82" t="s">
        <v>4350</v>
      </c>
      <c r="AX15" s="82" t="s">
        <v>5326</v>
      </c>
      <c r="AY15" s="82" t="s">
        <v>5577</v>
      </c>
      <c r="AZ15" s="82" t="s">
        <v>5616</v>
      </c>
      <c r="BA15" s="82" t="s">
        <v>5615</v>
      </c>
      <c r="BB15" s="82" t="s">
        <v>5615</v>
      </c>
      <c r="BC15" s="82" t="s">
        <v>5616</v>
      </c>
      <c r="BD15" s="82" t="s">
        <v>5577</v>
      </c>
      <c r="BE15" s="77"/>
      <c r="BF15" s="77"/>
      <c r="BG15" s="77"/>
      <c r="BH15" s="77"/>
      <c r="BI15" s="77"/>
    </row>
    <row r="16" spans="1:61" x14ac:dyDescent="0.25">
      <c r="A16" s="62" t="s">
        <v>234</v>
      </c>
      <c r="B16" s="62" t="s">
        <v>234</v>
      </c>
      <c r="C16" s="63"/>
      <c r="D16" s="64"/>
      <c r="E16" s="65"/>
      <c r="F16" s="66"/>
      <c r="G16" s="63"/>
      <c r="H16" s="67"/>
      <c r="I16" s="68"/>
      <c r="J16" s="68"/>
      <c r="K16" s="32"/>
      <c r="L16" s="75">
        <v>16</v>
      </c>
      <c r="M16" s="75"/>
      <c r="N16" s="70"/>
      <c r="O16" s="77" t="s">
        <v>179</v>
      </c>
      <c r="P16" s="79">
        <v>45105.629490740743</v>
      </c>
      <c r="Q16" s="77" t="s">
        <v>600</v>
      </c>
      <c r="R16" s="77">
        <v>0</v>
      </c>
      <c r="S16" s="77">
        <v>0</v>
      </c>
      <c r="T16" s="77">
        <v>1</v>
      </c>
      <c r="U16" s="77">
        <v>0</v>
      </c>
      <c r="V16" s="77">
        <v>48</v>
      </c>
      <c r="W16" s="82" t="s">
        <v>1550</v>
      </c>
      <c r="X16" s="77"/>
      <c r="Y16" s="77"/>
      <c r="Z16" s="77"/>
      <c r="AA16" s="77" t="s">
        <v>2194</v>
      </c>
      <c r="AB16" s="77" t="s">
        <v>2714</v>
      </c>
      <c r="AC16" s="82" t="s">
        <v>2719</v>
      </c>
      <c r="AD16" s="77" t="s">
        <v>2754</v>
      </c>
      <c r="AE16" s="80" t="str">
        <f>HYPERLINK("https://twitter.com/lisabnelson7885/status/1674071776073072643")</f>
        <v>https://twitter.com/lisabnelson7885/status/1674071776073072643</v>
      </c>
      <c r="AF16" s="79">
        <v>45105.629490740743</v>
      </c>
      <c r="AG16" s="85">
        <v>45105</v>
      </c>
      <c r="AH16" s="82" t="s">
        <v>2776</v>
      </c>
      <c r="AI16" s="77" t="b">
        <v>0</v>
      </c>
      <c r="AJ16" s="77"/>
      <c r="AK16" s="77"/>
      <c r="AL16" s="77"/>
      <c r="AM16" s="77"/>
      <c r="AN16" s="77"/>
      <c r="AO16" s="77"/>
      <c r="AP16" s="77"/>
      <c r="AQ16" s="77" t="s">
        <v>3820</v>
      </c>
      <c r="AR16" s="77"/>
      <c r="AS16" s="77"/>
      <c r="AT16" s="77"/>
      <c r="AU16" s="77"/>
      <c r="AV16" s="80" t="str">
        <f>HYPERLINK("https://pbs.twimg.com/media/Fzt_ZtEX0AU2FFW.jpg")</f>
        <v>https://pbs.twimg.com/media/Fzt_ZtEX0AU2FFW.jpg</v>
      </c>
      <c r="AW16" s="82" t="s">
        <v>4351</v>
      </c>
      <c r="AX16" s="82" t="s">
        <v>4351</v>
      </c>
      <c r="AY16" s="77"/>
      <c r="AZ16" s="82" t="s">
        <v>5615</v>
      </c>
      <c r="BA16" s="82" t="s">
        <v>5615</v>
      </c>
      <c r="BB16" s="82" t="s">
        <v>5615</v>
      </c>
      <c r="BC16" s="82" t="s">
        <v>4351</v>
      </c>
      <c r="BD16" s="82" t="s">
        <v>5857</v>
      </c>
      <c r="BE16" s="77"/>
      <c r="BF16" s="77"/>
      <c r="BG16" s="77"/>
      <c r="BH16" s="77"/>
      <c r="BI16" s="77"/>
    </row>
    <row r="17" spans="1:61" x14ac:dyDescent="0.25">
      <c r="A17" s="62" t="s">
        <v>235</v>
      </c>
      <c r="B17" s="62" t="s">
        <v>235</v>
      </c>
      <c r="C17" s="63"/>
      <c r="D17" s="64"/>
      <c r="E17" s="65"/>
      <c r="F17" s="66"/>
      <c r="G17" s="63"/>
      <c r="H17" s="67"/>
      <c r="I17" s="68"/>
      <c r="J17" s="68"/>
      <c r="K17" s="32"/>
      <c r="L17" s="75">
        <v>17</v>
      </c>
      <c r="M17" s="75"/>
      <c r="N17" s="70"/>
      <c r="O17" s="77" t="s">
        <v>179</v>
      </c>
      <c r="P17" s="79">
        <v>44936.760694444441</v>
      </c>
      <c r="Q17" s="77" t="s">
        <v>601</v>
      </c>
      <c r="R17" s="77">
        <v>0</v>
      </c>
      <c r="S17" s="77">
        <v>0</v>
      </c>
      <c r="T17" s="77">
        <v>0</v>
      </c>
      <c r="U17" s="77">
        <v>0</v>
      </c>
      <c r="V17" s="77">
        <v>5</v>
      </c>
      <c r="W17" s="82" t="s">
        <v>1551</v>
      </c>
      <c r="X17" s="80" t="str">
        <f>HYPERLINK("https://omeulink.com/vendasnoautomaticoagora")</f>
        <v>https://omeulink.com/vendasnoautomaticoagora</v>
      </c>
      <c r="Y17" s="77" t="s">
        <v>2127</v>
      </c>
      <c r="Z17" s="77"/>
      <c r="AA17" s="77" t="s">
        <v>2195</v>
      </c>
      <c r="AB17" s="77" t="s">
        <v>2713</v>
      </c>
      <c r="AC17" s="82" t="s">
        <v>2719</v>
      </c>
      <c r="AD17" s="77" t="s">
        <v>2752</v>
      </c>
      <c r="AE17" s="80" t="str">
        <f>HYPERLINK("https://twitter.com/uilmanganelli/status/1612875772598820864")</f>
        <v>https://twitter.com/uilmanganelli/status/1612875772598820864</v>
      </c>
      <c r="AF17" s="79">
        <v>44936.760694444441</v>
      </c>
      <c r="AG17" s="85">
        <v>44936</v>
      </c>
      <c r="AH17" s="82" t="s">
        <v>2777</v>
      </c>
      <c r="AI17" s="77" t="b">
        <v>0</v>
      </c>
      <c r="AJ17" s="77"/>
      <c r="AK17" s="77"/>
      <c r="AL17" s="77"/>
      <c r="AM17" s="77"/>
      <c r="AN17" s="77"/>
      <c r="AO17" s="77"/>
      <c r="AP17" s="77"/>
      <c r="AQ17" s="77" t="s">
        <v>3821</v>
      </c>
      <c r="AR17" s="77">
        <v>44987</v>
      </c>
      <c r="AS17" s="77"/>
      <c r="AT17" s="77"/>
      <c r="AU17" s="77"/>
      <c r="AV17" s="80" t="str">
        <f>HYPERLINK("https://pbs.twimg.com/ext_tw_video_thumb/1612875661487521793/pu/img/oFQNRXIWeyo0cDOA.jpg")</f>
        <v>https://pbs.twimg.com/ext_tw_video_thumb/1612875661487521793/pu/img/oFQNRXIWeyo0cDOA.jpg</v>
      </c>
      <c r="AW17" s="82" t="s">
        <v>4352</v>
      </c>
      <c r="AX17" s="82" t="s">
        <v>4352</v>
      </c>
      <c r="AY17" s="77"/>
      <c r="AZ17" s="82" t="s">
        <v>5615</v>
      </c>
      <c r="BA17" s="82" t="s">
        <v>5615</v>
      </c>
      <c r="BB17" s="82" t="s">
        <v>5615</v>
      </c>
      <c r="BC17" s="82" t="s">
        <v>4352</v>
      </c>
      <c r="BD17" s="82" t="s">
        <v>5858</v>
      </c>
      <c r="BE17" s="77"/>
      <c r="BF17" s="77"/>
      <c r="BG17" s="77"/>
      <c r="BH17" s="77"/>
      <c r="BI17" s="77"/>
    </row>
    <row r="18" spans="1:61" x14ac:dyDescent="0.25">
      <c r="A18" s="62" t="s">
        <v>236</v>
      </c>
      <c r="B18" s="62" t="s">
        <v>236</v>
      </c>
      <c r="C18" s="63"/>
      <c r="D18" s="64"/>
      <c r="E18" s="65"/>
      <c r="F18" s="66"/>
      <c r="G18" s="63"/>
      <c r="H18" s="67"/>
      <c r="I18" s="68"/>
      <c r="J18" s="68"/>
      <c r="K18" s="32"/>
      <c r="L18" s="75">
        <v>18</v>
      </c>
      <c r="M18" s="75"/>
      <c r="N18" s="70"/>
      <c r="O18" s="77" t="s">
        <v>179</v>
      </c>
      <c r="P18" s="79">
        <v>45060.711435185185</v>
      </c>
      <c r="Q18" s="77" t="s">
        <v>602</v>
      </c>
      <c r="R18" s="77">
        <v>0</v>
      </c>
      <c r="S18" s="77">
        <v>0</v>
      </c>
      <c r="T18" s="77">
        <v>1</v>
      </c>
      <c r="U18" s="77">
        <v>0</v>
      </c>
      <c r="V18" s="77">
        <v>21</v>
      </c>
      <c r="W18" s="82" t="s">
        <v>1552</v>
      </c>
      <c r="X18" s="77"/>
      <c r="Y18" s="77"/>
      <c r="Z18" s="77"/>
      <c r="AA18" s="77" t="s">
        <v>2196</v>
      </c>
      <c r="AB18" s="77" t="s">
        <v>2714</v>
      </c>
      <c r="AC18" s="82" t="s">
        <v>2720</v>
      </c>
      <c r="AD18" s="77" t="s">
        <v>2752</v>
      </c>
      <c r="AE18" s="80" t="str">
        <f>HYPERLINK("https://twitter.com/af_liberdade/status/1657794016728023041")</f>
        <v>https://twitter.com/af_liberdade/status/1657794016728023041</v>
      </c>
      <c r="AF18" s="79">
        <v>45060.711435185185</v>
      </c>
      <c r="AG18" s="85">
        <v>45060</v>
      </c>
      <c r="AH18" s="82" t="s">
        <v>2778</v>
      </c>
      <c r="AI18" s="77" t="b">
        <v>0</v>
      </c>
      <c r="AJ18" s="77"/>
      <c r="AK18" s="77"/>
      <c r="AL18" s="77"/>
      <c r="AM18" s="77"/>
      <c r="AN18" s="77"/>
      <c r="AO18" s="77"/>
      <c r="AP18" s="77"/>
      <c r="AQ18" s="77" t="s">
        <v>3822</v>
      </c>
      <c r="AR18" s="77"/>
      <c r="AS18" s="77"/>
      <c r="AT18" s="77"/>
      <c r="AU18" s="77"/>
      <c r="AV18" s="80" t="str">
        <f>HYPERLINK("https://pbs.twimg.com/media/FwGq3sxXoAEGcph.jpg")</f>
        <v>https://pbs.twimg.com/media/FwGq3sxXoAEGcph.jpg</v>
      </c>
      <c r="AW18" s="82" t="s">
        <v>4353</v>
      </c>
      <c r="AX18" s="82" t="s">
        <v>4353</v>
      </c>
      <c r="AY18" s="77"/>
      <c r="AZ18" s="82" t="s">
        <v>5615</v>
      </c>
      <c r="BA18" s="82" t="s">
        <v>5615</v>
      </c>
      <c r="BB18" s="82" t="s">
        <v>5615</v>
      </c>
      <c r="BC18" s="82" t="s">
        <v>4353</v>
      </c>
      <c r="BD18" s="82" t="s">
        <v>5859</v>
      </c>
      <c r="BE18" s="77"/>
      <c r="BF18" s="77"/>
      <c r="BG18" s="77"/>
      <c r="BH18" s="77"/>
      <c r="BI18" s="77"/>
    </row>
    <row r="19" spans="1:61" x14ac:dyDescent="0.25">
      <c r="A19" s="62" t="s">
        <v>237</v>
      </c>
      <c r="B19" s="62" t="s">
        <v>237</v>
      </c>
      <c r="C19" s="63"/>
      <c r="D19" s="64"/>
      <c r="E19" s="65"/>
      <c r="F19" s="66"/>
      <c r="G19" s="63"/>
      <c r="H19" s="67"/>
      <c r="I19" s="68"/>
      <c r="J19" s="68"/>
      <c r="K19" s="32"/>
      <c r="L19" s="75">
        <v>19</v>
      </c>
      <c r="M19" s="75"/>
      <c r="N19" s="70"/>
      <c r="O19" s="77" t="s">
        <v>179</v>
      </c>
      <c r="P19" s="79">
        <v>45092.035277777781</v>
      </c>
      <c r="Q19" s="77" t="s">
        <v>603</v>
      </c>
      <c r="R19" s="77">
        <v>0</v>
      </c>
      <c r="S19" s="77">
        <v>0</v>
      </c>
      <c r="T19" s="77">
        <v>0</v>
      </c>
      <c r="U19" s="77">
        <v>0</v>
      </c>
      <c r="V19" s="77">
        <v>3</v>
      </c>
      <c r="W19" s="82" t="s">
        <v>1553</v>
      </c>
      <c r="X19" s="80" t="str">
        <f>HYPERLINK("https://edzz.la/9TZWP?a=10771391")</f>
        <v>https://edzz.la/9TZWP?a=10771391</v>
      </c>
      <c r="Y19" s="77" t="s">
        <v>2128</v>
      </c>
      <c r="Z19" s="77"/>
      <c r="AA19" s="77" t="s">
        <v>2197</v>
      </c>
      <c r="AB19" s="77" t="s">
        <v>2713</v>
      </c>
      <c r="AC19" s="82" t="s">
        <v>2719</v>
      </c>
      <c r="AD19" s="77" t="s">
        <v>2752</v>
      </c>
      <c r="AE19" s="80" t="str">
        <f>HYPERLINK("https://twitter.com/luciane00547445/status/1669145395992096769")</f>
        <v>https://twitter.com/luciane00547445/status/1669145395992096769</v>
      </c>
      <c r="AF19" s="79">
        <v>45092.035277777781</v>
      </c>
      <c r="AG19" s="85">
        <v>45092</v>
      </c>
      <c r="AH19" s="82" t="s">
        <v>2779</v>
      </c>
      <c r="AI19" s="77" t="b">
        <v>0</v>
      </c>
      <c r="AJ19" s="77"/>
      <c r="AK19" s="77"/>
      <c r="AL19" s="77"/>
      <c r="AM19" s="77"/>
      <c r="AN19" s="77"/>
      <c r="AO19" s="77"/>
      <c r="AP19" s="77"/>
      <c r="AQ19" s="77" t="s">
        <v>3823</v>
      </c>
      <c r="AR19" s="77">
        <v>5000</v>
      </c>
      <c r="AS19" s="77"/>
      <c r="AT19" s="77"/>
      <c r="AU19" s="77"/>
      <c r="AV19" s="80" t="str">
        <f>HYPERLINK("https://pbs.twimg.com/ext_tw_video_thumb/1669145369844801537/pu/img/n7y2tl0wcFBdGShA.jpg")</f>
        <v>https://pbs.twimg.com/ext_tw_video_thumb/1669145369844801537/pu/img/n7y2tl0wcFBdGShA.jpg</v>
      </c>
      <c r="AW19" s="82" t="s">
        <v>4354</v>
      </c>
      <c r="AX19" s="82" t="s">
        <v>4354</v>
      </c>
      <c r="AY19" s="77"/>
      <c r="AZ19" s="82" t="s">
        <v>5615</v>
      </c>
      <c r="BA19" s="82" t="s">
        <v>5615</v>
      </c>
      <c r="BB19" s="82" t="s">
        <v>5615</v>
      </c>
      <c r="BC19" s="82" t="s">
        <v>4354</v>
      </c>
      <c r="BD19" s="82" t="s">
        <v>5860</v>
      </c>
      <c r="BE19" s="77"/>
      <c r="BF19" s="77"/>
      <c r="BG19" s="77"/>
      <c r="BH19" s="77"/>
      <c r="BI19" s="77"/>
    </row>
    <row r="20" spans="1:61" x14ac:dyDescent="0.25">
      <c r="A20" s="62" t="s">
        <v>238</v>
      </c>
      <c r="B20" s="62" t="s">
        <v>238</v>
      </c>
      <c r="C20" s="63"/>
      <c r="D20" s="64"/>
      <c r="E20" s="65"/>
      <c r="F20" s="66"/>
      <c r="G20" s="63"/>
      <c r="H20" s="67"/>
      <c r="I20" s="68"/>
      <c r="J20" s="68"/>
      <c r="K20" s="32"/>
      <c r="L20" s="75">
        <v>20</v>
      </c>
      <c r="M20" s="75"/>
      <c r="N20" s="70"/>
      <c r="O20" s="77" t="s">
        <v>179</v>
      </c>
      <c r="P20" s="79">
        <v>44946.875428240739</v>
      </c>
      <c r="Q20" s="77" t="s">
        <v>604</v>
      </c>
      <c r="R20" s="77">
        <v>0</v>
      </c>
      <c r="S20" s="77">
        <v>0</v>
      </c>
      <c r="T20" s="77">
        <v>0</v>
      </c>
      <c r="U20" s="77">
        <v>0</v>
      </c>
      <c r="V20" s="77">
        <v>19</v>
      </c>
      <c r="W20" s="82" t="s">
        <v>1554</v>
      </c>
      <c r="X20" s="80" t="str">
        <f>HYPERLINK("https://investimentoobjetivo.com.br/mentoria-investimentos/")</f>
        <v>https://investimentoobjetivo.com.br/mentoria-investimentos/</v>
      </c>
      <c r="Y20" s="77" t="s">
        <v>2129</v>
      </c>
      <c r="Z20" s="77"/>
      <c r="AA20" s="77" t="s">
        <v>2198</v>
      </c>
      <c r="AB20" s="77" t="s">
        <v>2713</v>
      </c>
      <c r="AC20" s="82" t="s">
        <v>2721</v>
      </c>
      <c r="AD20" s="77" t="s">
        <v>2752</v>
      </c>
      <c r="AE20" s="80" t="str">
        <f>HYPERLINK("https://twitter.com/agrocapitais/status/1616541229017169952")</f>
        <v>https://twitter.com/agrocapitais/status/1616541229017169952</v>
      </c>
      <c r="AF20" s="79">
        <v>44946.875428240739</v>
      </c>
      <c r="AG20" s="85">
        <v>44946</v>
      </c>
      <c r="AH20" s="82" t="s">
        <v>2780</v>
      </c>
      <c r="AI20" s="77" t="b">
        <v>0</v>
      </c>
      <c r="AJ20" s="77"/>
      <c r="AK20" s="77"/>
      <c r="AL20" s="77"/>
      <c r="AM20" s="77"/>
      <c r="AN20" s="77"/>
      <c r="AO20" s="77"/>
      <c r="AP20" s="77"/>
      <c r="AQ20" s="77" t="s">
        <v>3824</v>
      </c>
      <c r="AR20" s="77">
        <v>18700</v>
      </c>
      <c r="AS20" s="77"/>
      <c r="AT20" s="77"/>
      <c r="AU20" s="77"/>
      <c r="AV20" s="80" t="str">
        <f>HYPERLINK("https://pbs.twimg.com/ext_tw_video_thumb/1616541182904991773/pu/img/07xOPDa8YizEk8H_.jpg")</f>
        <v>https://pbs.twimg.com/ext_tw_video_thumb/1616541182904991773/pu/img/07xOPDa8YizEk8H_.jpg</v>
      </c>
      <c r="AW20" s="82" t="s">
        <v>4355</v>
      </c>
      <c r="AX20" s="82" t="s">
        <v>4355</v>
      </c>
      <c r="AY20" s="77"/>
      <c r="AZ20" s="82" t="s">
        <v>5615</v>
      </c>
      <c r="BA20" s="82" t="s">
        <v>5615</v>
      </c>
      <c r="BB20" s="82" t="s">
        <v>5615</v>
      </c>
      <c r="BC20" s="82" t="s">
        <v>4355</v>
      </c>
      <c r="BD20" s="82" t="s">
        <v>5861</v>
      </c>
      <c r="BE20" s="77"/>
      <c r="BF20" s="77"/>
      <c r="BG20" s="77"/>
      <c r="BH20" s="77"/>
      <c r="BI20" s="77"/>
    </row>
    <row r="21" spans="1:61" x14ac:dyDescent="0.25">
      <c r="A21" s="62" t="s">
        <v>239</v>
      </c>
      <c r="B21" s="62" t="s">
        <v>239</v>
      </c>
      <c r="C21" s="63"/>
      <c r="D21" s="64"/>
      <c r="E21" s="65"/>
      <c r="F21" s="66"/>
      <c r="G21" s="63"/>
      <c r="H21" s="67"/>
      <c r="I21" s="68"/>
      <c r="J21" s="68"/>
      <c r="K21" s="32"/>
      <c r="L21" s="75">
        <v>21</v>
      </c>
      <c r="M21" s="75"/>
      <c r="N21" s="70"/>
      <c r="O21" s="77" t="s">
        <v>179</v>
      </c>
      <c r="P21" s="79">
        <v>44939.987754629627</v>
      </c>
      <c r="Q21" s="77" t="s">
        <v>605</v>
      </c>
      <c r="R21" s="77">
        <v>0</v>
      </c>
      <c r="S21" s="77">
        <v>0</v>
      </c>
      <c r="T21" s="77">
        <v>0</v>
      </c>
      <c r="U21" s="77">
        <v>0</v>
      </c>
      <c r="V21" s="77">
        <v>93</v>
      </c>
      <c r="W21" s="82" t="s">
        <v>1555</v>
      </c>
      <c r="X21" s="80" t="str">
        <f>HYPERLINK("https://www.instagram.com/p/CnXmkEmph13/?igshid=MDJmNzVkMjY=")</f>
        <v>https://www.instagram.com/p/CnXmkEmph13/?igshid=MDJmNzVkMjY=</v>
      </c>
      <c r="Y21" s="77" t="s">
        <v>2130</v>
      </c>
      <c r="Z21" s="77"/>
      <c r="AA21" s="77"/>
      <c r="AB21" s="77"/>
      <c r="AC21" s="82" t="s">
        <v>2719</v>
      </c>
      <c r="AD21" s="77" t="s">
        <v>2752</v>
      </c>
      <c r="AE21" s="80" t="str">
        <f>HYPERLINK("https://twitter.com/calilecalil/status/1614045219330064392")</f>
        <v>https://twitter.com/calilecalil/status/1614045219330064392</v>
      </c>
      <c r="AF21" s="79">
        <v>44939.987754629627</v>
      </c>
      <c r="AG21" s="85">
        <v>44939</v>
      </c>
      <c r="AH21" s="82" t="s">
        <v>2781</v>
      </c>
      <c r="AI21" s="77" t="b">
        <v>0</v>
      </c>
      <c r="AJ21" s="77"/>
      <c r="AK21" s="77"/>
      <c r="AL21" s="77"/>
      <c r="AM21" s="77"/>
      <c r="AN21" s="77"/>
      <c r="AO21" s="77"/>
      <c r="AP21" s="77"/>
      <c r="AQ21" s="77"/>
      <c r="AR21" s="77"/>
      <c r="AS21" s="77"/>
      <c r="AT21" s="77"/>
      <c r="AU21" s="77"/>
      <c r="AV21" s="80" t="str">
        <f>HYPERLINK("https://pbs.twimg.com/profile_images/1207742176098234368/FXlB5owL_normal.jpg")</f>
        <v>https://pbs.twimg.com/profile_images/1207742176098234368/FXlB5owL_normal.jpg</v>
      </c>
      <c r="AW21" s="82" t="s">
        <v>4356</v>
      </c>
      <c r="AX21" s="82" t="s">
        <v>4356</v>
      </c>
      <c r="AY21" s="77"/>
      <c r="AZ21" s="82" t="s">
        <v>5615</v>
      </c>
      <c r="BA21" s="82" t="s">
        <v>5615</v>
      </c>
      <c r="BB21" s="82" t="s">
        <v>5615</v>
      </c>
      <c r="BC21" s="82" t="s">
        <v>4356</v>
      </c>
      <c r="BD21" s="77">
        <v>75173434</v>
      </c>
      <c r="BE21" s="77"/>
      <c r="BF21" s="77"/>
      <c r="BG21" s="77"/>
      <c r="BH21" s="77"/>
      <c r="BI21" s="77"/>
    </row>
    <row r="22" spans="1:61" x14ac:dyDescent="0.25">
      <c r="A22" s="62" t="s">
        <v>239</v>
      </c>
      <c r="B22" s="62" t="s">
        <v>239</v>
      </c>
      <c r="C22" s="63"/>
      <c r="D22" s="64"/>
      <c r="E22" s="65"/>
      <c r="F22" s="66"/>
      <c r="G22" s="63"/>
      <c r="H22" s="67"/>
      <c r="I22" s="68"/>
      <c r="J22" s="68"/>
      <c r="K22" s="32"/>
      <c r="L22" s="75">
        <v>22</v>
      </c>
      <c r="M22" s="75"/>
      <c r="N22" s="70"/>
      <c r="O22" s="77" t="s">
        <v>179</v>
      </c>
      <c r="P22" s="79">
        <v>44994.897361111114</v>
      </c>
      <c r="Q22" s="77" t="s">
        <v>606</v>
      </c>
      <c r="R22" s="77">
        <v>0</v>
      </c>
      <c r="S22" s="77">
        <v>0</v>
      </c>
      <c r="T22" s="77">
        <v>0</v>
      </c>
      <c r="U22" s="77">
        <v>0</v>
      </c>
      <c r="V22" s="77">
        <v>40</v>
      </c>
      <c r="W22" s="82" t="s">
        <v>1556</v>
      </c>
      <c r="X22" s="80" t="str">
        <f>HYPERLINK("https://www.instagram.com/p/CpYxk5nrmuh/?igshid=MDJmNzVkMjY=")</f>
        <v>https://www.instagram.com/p/CpYxk5nrmuh/?igshid=MDJmNzVkMjY=</v>
      </c>
      <c r="Y22" s="77" t="s">
        <v>2130</v>
      </c>
      <c r="Z22" s="77"/>
      <c r="AA22" s="77"/>
      <c r="AB22" s="77"/>
      <c r="AC22" s="82" t="s">
        <v>2719</v>
      </c>
      <c r="AD22" s="77" t="s">
        <v>2752</v>
      </c>
      <c r="AE22" s="80" t="str">
        <f>HYPERLINK("https://twitter.com/calilecalil/status/1633943796336545792")</f>
        <v>https://twitter.com/calilecalil/status/1633943796336545792</v>
      </c>
      <c r="AF22" s="79">
        <v>44994.897361111114</v>
      </c>
      <c r="AG22" s="85">
        <v>44994</v>
      </c>
      <c r="AH22" s="82" t="s">
        <v>2782</v>
      </c>
      <c r="AI22" s="77" t="b">
        <v>0</v>
      </c>
      <c r="AJ22" s="77"/>
      <c r="AK22" s="77"/>
      <c r="AL22" s="77"/>
      <c r="AM22" s="77"/>
      <c r="AN22" s="77"/>
      <c r="AO22" s="77"/>
      <c r="AP22" s="77"/>
      <c r="AQ22" s="77"/>
      <c r="AR22" s="77"/>
      <c r="AS22" s="77"/>
      <c r="AT22" s="77"/>
      <c r="AU22" s="77"/>
      <c r="AV22" s="80" t="str">
        <f>HYPERLINK("https://pbs.twimg.com/profile_images/1207742176098234368/FXlB5owL_normal.jpg")</f>
        <v>https://pbs.twimg.com/profile_images/1207742176098234368/FXlB5owL_normal.jpg</v>
      </c>
      <c r="AW22" s="82" t="s">
        <v>4357</v>
      </c>
      <c r="AX22" s="82" t="s">
        <v>4357</v>
      </c>
      <c r="AY22" s="77"/>
      <c r="AZ22" s="82" t="s">
        <v>5615</v>
      </c>
      <c r="BA22" s="82" t="s">
        <v>5615</v>
      </c>
      <c r="BB22" s="82" t="s">
        <v>5615</v>
      </c>
      <c r="BC22" s="82" t="s">
        <v>4357</v>
      </c>
      <c r="BD22" s="77">
        <v>75173434</v>
      </c>
      <c r="BE22" s="77"/>
      <c r="BF22" s="77"/>
      <c r="BG22" s="77"/>
      <c r="BH22" s="77"/>
      <c r="BI22" s="77"/>
    </row>
    <row r="23" spans="1:61" x14ac:dyDescent="0.25">
      <c r="A23" s="62" t="s">
        <v>240</v>
      </c>
      <c r="B23" s="62" t="s">
        <v>240</v>
      </c>
      <c r="C23" s="63"/>
      <c r="D23" s="64"/>
      <c r="E23" s="65"/>
      <c r="F23" s="66"/>
      <c r="G23" s="63"/>
      <c r="H23" s="67"/>
      <c r="I23" s="68"/>
      <c r="J23" s="68"/>
      <c r="K23" s="32"/>
      <c r="L23" s="75">
        <v>23</v>
      </c>
      <c r="M23" s="75"/>
      <c r="N23" s="70"/>
      <c r="O23" s="77" t="s">
        <v>179</v>
      </c>
      <c r="P23" s="79">
        <v>45041.375023148146</v>
      </c>
      <c r="Q23" s="77" t="s">
        <v>607</v>
      </c>
      <c r="R23" s="77">
        <v>0</v>
      </c>
      <c r="S23" s="77">
        <v>0</v>
      </c>
      <c r="T23" s="77">
        <v>0</v>
      </c>
      <c r="U23" s="77">
        <v>0</v>
      </c>
      <c r="V23" s="77">
        <v>25</v>
      </c>
      <c r="W23" s="82" t="s">
        <v>1557</v>
      </c>
      <c r="X23" s="80" t="str">
        <f>HYPERLINK("https://eln.one/r6Y4h")</f>
        <v>https://eln.one/r6Y4h</v>
      </c>
      <c r="Y23" s="77" t="s">
        <v>2131</v>
      </c>
      <c r="Z23" s="77"/>
      <c r="AA23" s="77" t="s">
        <v>2199</v>
      </c>
      <c r="AB23" s="77" t="s">
        <v>2714</v>
      </c>
      <c r="AC23" s="82" t="s">
        <v>2722</v>
      </c>
      <c r="AD23" s="77" t="s">
        <v>2752</v>
      </c>
      <c r="AE23" s="80" t="str">
        <f>HYPERLINK("https://twitter.com/eloanportugal/status/1650786736262316032")</f>
        <v>https://twitter.com/eloanportugal/status/1650786736262316032</v>
      </c>
      <c r="AF23" s="79">
        <v>45041.375023148146</v>
      </c>
      <c r="AG23" s="85">
        <v>45041</v>
      </c>
      <c r="AH23" s="82" t="s">
        <v>2783</v>
      </c>
      <c r="AI23" s="77" t="b">
        <v>0</v>
      </c>
      <c r="AJ23" s="77"/>
      <c r="AK23" s="77"/>
      <c r="AL23" s="77"/>
      <c r="AM23" s="77"/>
      <c r="AN23" s="77"/>
      <c r="AO23" s="77"/>
      <c r="AP23" s="77"/>
      <c r="AQ23" s="77" t="s">
        <v>3825</v>
      </c>
      <c r="AR23" s="77"/>
      <c r="AS23" s="77"/>
      <c r="AT23" s="77"/>
      <c r="AU23" s="77"/>
      <c r="AV23" s="80" t="str">
        <f>HYPERLINK("https://pbs.twimg.com/media/Fufhu5lXoAAtqgB.jpg")</f>
        <v>https://pbs.twimg.com/media/Fufhu5lXoAAtqgB.jpg</v>
      </c>
      <c r="AW23" s="82" t="s">
        <v>4358</v>
      </c>
      <c r="AX23" s="82" t="s">
        <v>4358</v>
      </c>
      <c r="AY23" s="77"/>
      <c r="AZ23" s="82" t="s">
        <v>5615</v>
      </c>
      <c r="BA23" s="82" t="s">
        <v>5615</v>
      </c>
      <c r="BB23" s="82" t="s">
        <v>5615</v>
      </c>
      <c r="BC23" s="82" t="s">
        <v>4358</v>
      </c>
      <c r="BD23" s="82" t="s">
        <v>5862</v>
      </c>
      <c r="BE23" s="77"/>
      <c r="BF23" s="77"/>
      <c r="BG23" s="77"/>
      <c r="BH23" s="77"/>
      <c r="BI23" s="77"/>
    </row>
    <row r="24" spans="1:61" x14ac:dyDescent="0.25">
      <c r="A24" s="62" t="s">
        <v>241</v>
      </c>
      <c r="B24" s="62" t="s">
        <v>241</v>
      </c>
      <c r="C24" s="63"/>
      <c r="D24" s="64"/>
      <c r="E24" s="65"/>
      <c r="F24" s="66"/>
      <c r="G24" s="63"/>
      <c r="H24" s="67"/>
      <c r="I24" s="68"/>
      <c r="J24" s="68"/>
      <c r="K24" s="32"/>
      <c r="L24" s="75">
        <v>24</v>
      </c>
      <c r="M24" s="75"/>
      <c r="N24" s="70"/>
      <c r="O24" s="77" t="s">
        <v>179</v>
      </c>
      <c r="P24" s="79">
        <v>44984.078587962962</v>
      </c>
      <c r="Q24" s="77" t="s">
        <v>608</v>
      </c>
      <c r="R24" s="77">
        <v>0</v>
      </c>
      <c r="S24" s="77">
        <v>0</v>
      </c>
      <c r="T24" s="77">
        <v>0</v>
      </c>
      <c r="U24" s="77">
        <v>0</v>
      </c>
      <c r="V24" s="77">
        <v>24</v>
      </c>
      <c r="W24" s="82" t="s">
        <v>1558</v>
      </c>
      <c r="X24" s="80" t="str">
        <f>HYPERLINK("https://www.instagram.com/p/CpJel0CLlITeDe8mlHe5nMMmmfW-NFBACEiwtg0/?igshid=YTgzYjQ4ZTY=")</f>
        <v>https://www.instagram.com/p/CpJel0CLlITeDe8mlHe5nMMmmfW-NFBACEiwtg0/?igshid=YTgzYjQ4ZTY=</v>
      </c>
      <c r="Y24" s="77" t="s">
        <v>2130</v>
      </c>
      <c r="Z24" s="77"/>
      <c r="AA24" s="77"/>
      <c r="AB24" s="77"/>
      <c r="AC24" s="82" t="s">
        <v>2723</v>
      </c>
      <c r="AD24" s="77" t="s">
        <v>2752</v>
      </c>
      <c r="AE24" s="80" t="str">
        <f>HYPERLINK("https://twitter.com/fabiosantanacs/status/1630023201357979653")</f>
        <v>https://twitter.com/fabiosantanacs/status/1630023201357979653</v>
      </c>
      <c r="AF24" s="79">
        <v>44984.078587962962</v>
      </c>
      <c r="AG24" s="85">
        <v>44984</v>
      </c>
      <c r="AH24" s="82" t="s">
        <v>2784</v>
      </c>
      <c r="AI24" s="77" t="b">
        <v>0</v>
      </c>
      <c r="AJ24" s="77"/>
      <c r="AK24" s="77"/>
      <c r="AL24" s="77"/>
      <c r="AM24" s="77"/>
      <c r="AN24" s="77"/>
      <c r="AO24" s="77"/>
      <c r="AP24" s="77"/>
      <c r="AQ24" s="77"/>
      <c r="AR24" s="77"/>
      <c r="AS24" s="77"/>
      <c r="AT24" s="77"/>
      <c r="AU24" s="77"/>
      <c r="AV24" s="80" t="str">
        <f>HYPERLINK("https://pbs.twimg.com/profile_images/1398086344535068673/hyCorW6j_normal.jpg")</f>
        <v>https://pbs.twimg.com/profile_images/1398086344535068673/hyCorW6j_normal.jpg</v>
      </c>
      <c r="AW24" s="82" t="s">
        <v>4359</v>
      </c>
      <c r="AX24" s="82" t="s">
        <v>4359</v>
      </c>
      <c r="AY24" s="77"/>
      <c r="AZ24" s="82" t="s">
        <v>5615</v>
      </c>
      <c r="BA24" s="82" t="s">
        <v>5615</v>
      </c>
      <c r="BB24" s="82" t="s">
        <v>5615</v>
      </c>
      <c r="BC24" s="82" t="s">
        <v>4359</v>
      </c>
      <c r="BD24" s="77">
        <v>2257002404</v>
      </c>
      <c r="BE24" s="77"/>
      <c r="BF24" s="77"/>
      <c r="BG24" s="77"/>
      <c r="BH24" s="77"/>
      <c r="BI24" s="77"/>
    </row>
    <row r="25" spans="1:61" x14ac:dyDescent="0.25">
      <c r="A25" s="62" t="s">
        <v>242</v>
      </c>
      <c r="B25" s="62" t="s">
        <v>242</v>
      </c>
      <c r="C25" s="63"/>
      <c r="D25" s="64"/>
      <c r="E25" s="65"/>
      <c r="F25" s="66"/>
      <c r="G25" s="63"/>
      <c r="H25" s="67"/>
      <c r="I25" s="68"/>
      <c r="J25" s="68"/>
      <c r="K25" s="32"/>
      <c r="L25" s="75">
        <v>25</v>
      </c>
      <c r="M25" s="75"/>
      <c r="N25" s="70"/>
      <c r="O25" s="77" t="s">
        <v>179</v>
      </c>
      <c r="P25" s="79">
        <v>45088.012835648151</v>
      </c>
      <c r="Q25" s="77" t="s">
        <v>609</v>
      </c>
      <c r="R25" s="77">
        <v>0</v>
      </c>
      <c r="S25" s="77">
        <v>1</v>
      </c>
      <c r="T25" s="77">
        <v>0</v>
      </c>
      <c r="U25" s="77">
        <v>0</v>
      </c>
      <c r="V25" s="77">
        <v>33</v>
      </c>
      <c r="W25" s="82" t="s">
        <v>1559</v>
      </c>
      <c r="X25" s="77"/>
      <c r="Y25" s="77"/>
      <c r="Z25" s="77"/>
      <c r="AA25" s="77" t="s">
        <v>2200</v>
      </c>
      <c r="AB25" s="77" t="s">
        <v>2713</v>
      </c>
      <c r="AC25" s="82" t="s">
        <v>2719</v>
      </c>
      <c r="AD25" s="77" t="s">
        <v>2752</v>
      </c>
      <c r="AE25" s="80" t="str">
        <f>HYPERLINK("https://twitter.com/alexandras_es/status/1667687712822788096")</f>
        <v>https://twitter.com/alexandras_es/status/1667687712822788096</v>
      </c>
      <c r="AF25" s="79">
        <v>45088.012835648151</v>
      </c>
      <c r="AG25" s="85">
        <v>45088</v>
      </c>
      <c r="AH25" s="82" t="s">
        <v>2785</v>
      </c>
      <c r="AI25" s="77" t="b">
        <v>0</v>
      </c>
      <c r="AJ25" s="77"/>
      <c r="AK25" s="77"/>
      <c r="AL25" s="77"/>
      <c r="AM25" s="77"/>
      <c r="AN25" s="77"/>
      <c r="AO25" s="77"/>
      <c r="AP25" s="77"/>
      <c r="AQ25" s="77" t="s">
        <v>3826</v>
      </c>
      <c r="AR25" s="77">
        <v>25500</v>
      </c>
      <c r="AS25" s="77"/>
      <c r="AT25" s="77"/>
      <c r="AU25" s="77"/>
      <c r="AV25" s="80" t="str">
        <f>HYPERLINK("https://pbs.twimg.com/ext_tw_video_thumb/1667687669088894977/pu/img/6pfpIs7b4wMHUOfm.jpg")</f>
        <v>https://pbs.twimg.com/ext_tw_video_thumb/1667687669088894977/pu/img/6pfpIs7b4wMHUOfm.jpg</v>
      </c>
      <c r="AW25" s="82" t="s">
        <v>4360</v>
      </c>
      <c r="AX25" s="82" t="s">
        <v>4360</v>
      </c>
      <c r="AY25" s="77"/>
      <c r="AZ25" s="82" t="s">
        <v>5615</v>
      </c>
      <c r="BA25" s="82" t="s">
        <v>5615</v>
      </c>
      <c r="BB25" s="82" t="s">
        <v>5615</v>
      </c>
      <c r="BC25" s="82" t="s">
        <v>4360</v>
      </c>
      <c r="BD25" s="82" t="s">
        <v>5863</v>
      </c>
      <c r="BE25" s="77"/>
      <c r="BF25" s="77"/>
      <c r="BG25" s="77"/>
      <c r="BH25" s="77"/>
      <c r="BI25" s="77"/>
    </row>
    <row r="26" spans="1:61" x14ac:dyDescent="0.25">
      <c r="A26" s="62" t="s">
        <v>243</v>
      </c>
      <c r="B26" s="62" t="s">
        <v>243</v>
      </c>
      <c r="C26" s="63"/>
      <c r="D26" s="64"/>
      <c r="E26" s="65"/>
      <c r="F26" s="66"/>
      <c r="G26" s="63"/>
      <c r="H26" s="67"/>
      <c r="I26" s="68"/>
      <c r="J26" s="68"/>
      <c r="K26" s="32"/>
      <c r="L26" s="75">
        <v>26</v>
      </c>
      <c r="M26" s="75"/>
      <c r="N26" s="70"/>
      <c r="O26" s="77" t="s">
        <v>179</v>
      </c>
      <c r="P26" s="79">
        <v>45161.458356481482</v>
      </c>
      <c r="Q26" s="77" t="s">
        <v>610</v>
      </c>
      <c r="R26" s="77">
        <v>0</v>
      </c>
      <c r="S26" s="77">
        <v>0</v>
      </c>
      <c r="T26" s="77">
        <v>0</v>
      </c>
      <c r="U26" s="77">
        <v>0</v>
      </c>
      <c r="V26" s="77">
        <v>15</v>
      </c>
      <c r="W26" s="82" t="s">
        <v>1560</v>
      </c>
      <c r="X26" s="77"/>
      <c r="Y26" s="77"/>
      <c r="Z26" s="77"/>
      <c r="AA26" s="77" t="s">
        <v>2201</v>
      </c>
      <c r="AB26" s="77" t="s">
        <v>2715</v>
      </c>
      <c r="AC26" s="82" t="s">
        <v>2722</v>
      </c>
      <c r="AD26" s="77" t="s">
        <v>2752</v>
      </c>
      <c r="AE26" s="80" t="str">
        <f>HYPERLINK("https://twitter.com/apilfibr/status/1694303478049288698")</f>
        <v>https://twitter.com/apilfibr/status/1694303478049288698</v>
      </c>
      <c r="AF26" s="79">
        <v>45161.458356481482</v>
      </c>
      <c r="AG26" s="85">
        <v>45161</v>
      </c>
      <c r="AH26" s="82" t="s">
        <v>2786</v>
      </c>
      <c r="AI26" s="77" t="b">
        <v>0</v>
      </c>
      <c r="AJ26" s="77"/>
      <c r="AK26" s="77"/>
      <c r="AL26" s="77"/>
      <c r="AM26" s="77"/>
      <c r="AN26" s="77"/>
      <c r="AO26" s="77"/>
      <c r="AP26" s="77"/>
      <c r="AQ26" s="77" t="s">
        <v>3827</v>
      </c>
      <c r="AR26" s="77"/>
      <c r="AS26" s="77"/>
      <c r="AT26" s="77"/>
      <c r="AU26" s="77"/>
      <c r="AV26" s="80" t="str">
        <f>HYPERLINK("https://pbs.twimg.com/media/F3wAgySW4BYnw0z.jpg")</f>
        <v>https://pbs.twimg.com/media/F3wAgySW4BYnw0z.jpg</v>
      </c>
      <c r="AW26" s="82" t="s">
        <v>4361</v>
      </c>
      <c r="AX26" s="82" t="s">
        <v>4361</v>
      </c>
      <c r="AY26" s="77"/>
      <c r="AZ26" s="82" t="s">
        <v>5615</v>
      </c>
      <c r="BA26" s="82" t="s">
        <v>5615</v>
      </c>
      <c r="BB26" s="82" t="s">
        <v>5615</v>
      </c>
      <c r="BC26" s="82" t="s">
        <v>4361</v>
      </c>
      <c r="BD26" s="82" t="s">
        <v>5864</v>
      </c>
      <c r="BE26" s="77"/>
      <c r="BF26" s="77"/>
      <c r="BG26" s="77"/>
      <c r="BH26" s="77"/>
      <c r="BI26" s="77"/>
    </row>
    <row r="27" spans="1:61" x14ac:dyDescent="0.25">
      <c r="A27" s="62" t="s">
        <v>243</v>
      </c>
      <c r="B27" s="62" t="s">
        <v>243</v>
      </c>
      <c r="C27" s="63"/>
      <c r="D27" s="64"/>
      <c r="E27" s="65"/>
      <c r="F27" s="66"/>
      <c r="G27" s="63"/>
      <c r="H27" s="67"/>
      <c r="I27" s="68"/>
      <c r="J27" s="68"/>
      <c r="K27" s="32"/>
      <c r="L27" s="75">
        <v>27</v>
      </c>
      <c r="M27" s="75"/>
      <c r="N27" s="70"/>
      <c r="O27" s="77" t="s">
        <v>179</v>
      </c>
      <c r="P27" s="79">
        <v>45163.458344907405</v>
      </c>
      <c r="Q27" s="77" t="s">
        <v>611</v>
      </c>
      <c r="R27" s="77">
        <v>0</v>
      </c>
      <c r="S27" s="77">
        <v>0</v>
      </c>
      <c r="T27" s="77">
        <v>0</v>
      </c>
      <c r="U27" s="77">
        <v>0</v>
      </c>
      <c r="V27" s="77">
        <v>12</v>
      </c>
      <c r="W27" s="82" t="s">
        <v>1561</v>
      </c>
      <c r="X27" s="77"/>
      <c r="Y27" s="77"/>
      <c r="Z27" s="77"/>
      <c r="AA27" s="77" t="s">
        <v>2202</v>
      </c>
      <c r="AB27" s="77" t="s">
        <v>2716</v>
      </c>
      <c r="AC27" s="82" t="s">
        <v>2722</v>
      </c>
      <c r="AD27" s="77" t="s">
        <v>2752</v>
      </c>
      <c r="AE27" s="80" t="str">
        <f>HYPERLINK("https://twitter.com/apilfibr/status/1695028248772538877")</f>
        <v>https://twitter.com/apilfibr/status/1695028248772538877</v>
      </c>
      <c r="AF27" s="79">
        <v>45163.458344907405</v>
      </c>
      <c r="AG27" s="85">
        <v>45163</v>
      </c>
      <c r="AH27" s="82" t="s">
        <v>2787</v>
      </c>
      <c r="AI27" s="77" t="b">
        <v>0</v>
      </c>
      <c r="AJ27" s="77"/>
      <c r="AK27" s="77"/>
      <c r="AL27" s="77"/>
      <c r="AM27" s="77"/>
      <c r="AN27" s="77"/>
      <c r="AO27" s="77"/>
      <c r="AP27" s="77"/>
      <c r="AQ27" s="77" t="s">
        <v>3828</v>
      </c>
      <c r="AR27" s="77"/>
      <c r="AS27" s="77"/>
      <c r="AT27" s="77"/>
      <c r="AU27" s="77"/>
      <c r="AV27" s="80" t="str">
        <f>HYPERLINK("https://pbs.twimg.com/media/F3wBCNaWMAAgsZZ.jpg")</f>
        <v>https://pbs.twimg.com/media/F3wBCNaWMAAgsZZ.jpg</v>
      </c>
      <c r="AW27" s="82" t="s">
        <v>4362</v>
      </c>
      <c r="AX27" s="82" t="s">
        <v>4362</v>
      </c>
      <c r="AY27" s="77"/>
      <c r="AZ27" s="82" t="s">
        <v>5615</v>
      </c>
      <c r="BA27" s="82" t="s">
        <v>5615</v>
      </c>
      <c r="BB27" s="82" t="s">
        <v>5615</v>
      </c>
      <c r="BC27" s="82" t="s">
        <v>4362</v>
      </c>
      <c r="BD27" s="82" t="s">
        <v>5864</v>
      </c>
      <c r="BE27" s="77"/>
      <c r="BF27" s="77"/>
      <c r="BG27" s="77"/>
      <c r="BH27" s="77"/>
      <c r="BI27" s="77"/>
    </row>
    <row r="28" spans="1:61" x14ac:dyDescent="0.25">
      <c r="A28" s="62" t="s">
        <v>243</v>
      </c>
      <c r="B28" s="62" t="s">
        <v>243</v>
      </c>
      <c r="C28" s="63"/>
      <c r="D28" s="64"/>
      <c r="E28" s="65"/>
      <c r="F28" s="66"/>
      <c r="G28" s="63"/>
      <c r="H28" s="67"/>
      <c r="I28" s="68"/>
      <c r="J28" s="68"/>
      <c r="K28" s="32"/>
      <c r="L28" s="75">
        <v>28</v>
      </c>
      <c r="M28" s="75"/>
      <c r="N28" s="70"/>
      <c r="O28" s="77" t="s">
        <v>179</v>
      </c>
      <c r="P28" s="79">
        <v>45168.479166666664</v>
      </c>
      <c r="Q28" s="77" t="s">
        <v>612</v>
      </c>
      <c r="R28" s="77">
        <v>0</v>
      </c>
      <c r="S28" s="77">
        <v>0</v>
      </c>
      <c r="T28" s="77">
        <v>0</v>
      </c>
      <c r="U28" s="77">
        <v>0</v>
      </c>
      <c r="V28" s="77">
        <v>11</v>
      </c>
      <c r="W28" s="82" t="s">
        <v>1562</v>
      </c>
      <c r="X28" s="77"/>
      <c r="Y28" s="77"/>
      <c r="Z28" s="77"/>
      <c r="AA28" s="77" t="s">
        <v>2203</v>
      </c>
      <c r="AB28" s="77" t="s">
        <v>2715</v>
      </c>
      <c r="AC28" s="82" t="s">
        <v>2722</v>
      </c>
      <c r="AD28" s="77" t="s">
        <v>2752</v>
      </c>
      <c r="AE28" s="80" t="str">
        <f>HYPERLINK("https://twitter.com/apilfibr/status/1696847733439521238")</f>
        <v>https://twitter.com/apilfibr/status/1696847733439521238</v>
      </c>
      <c r="AF28" s="79">
        <v>45168.479166666664</v>
      </c>
      <c r="AG28" s="85">
        <v>45168</v>
      </c>
      <c r="AH28" s="82" t="s">
        <v>2788</v>
      </c>
      <c r="AI28" s="77" t="b">
        <v>0</v>
      </c>
      <c r="AJ28" s="77"/>
      <c r="AK28" s="77"/>
      <c r="AL28" s="77"/>
      <c r="AM28" s="77"/>
      <c r="AN28" s="77"/>
      <c r="AO28" s="77"/>
      <c r="AP28" s="77"/>
      <c r="AQ28" s="77" t="s">
        <v>3829</v>
      </c>
      <c r="AR28" s="77"/>
      <c r="AS28" s="77"/>
      <c r="AT28" s="77"/>
      <c r="AU28" s="77"/>
      <c r="AV28" s="80" t="str">
        <f>HYPERLINK("https://pbs.twimg.com/media/F4ubz-EWsAA_5hQ.jpg")</f>
        <v>https://pbs.twimg.com/media/F4ubz-EWsAA_5hQ.jpg</v>
      </c>
      <c r="AW28" s="82" t="s">
        <v>4363</v>
      </c>
      <c r="AX28" s="82" t="s">
        <v>4363</v>
      </c>
      <c r="AY28" s="77"/>
      <c r="AZ28" s="82" t="s">
        <v>5615</v>
      </c>
      <c r="BA28" s="82" t="s">
        <v>5615</v>
      </c>
      <c r="BB28" s="82" t="s">
        <v>5615</v>
      </c>
      <c r="BC28" s="82" t="s">
        <v>4363</v>
      </c>
      <c r="BD28" s="82" t="s">
        <v>5864</v>
      </c>
      <c r="BE28" s="77"/>
      <c r="BF28" s="77"/>
      <c r="BG28" s="77"/>
      <c r="BH28" s="77"/>
      <c r="BI28" s="77"/>
    </row>
    <row r="29" spans="1:61" x14ac:dyDescent="0.25">
      <c r="A29" s="62" t="s">
        <v>243</v>
      </c>
      <c r="B29" s="62" t="s">
        <v>243</v>
      </c>
      <c r="C29" s="63"/>
      <c r="D29" s="64"/>
      <c r="E29" s="65"/>
      <c r="F29" s="66"/>
      <c r="G29" s="63"/>
      <c r="H29" s="67"/>
      <c r="I29" s="68"/>
      <c r="J29" s="68"/>
      <c r="K29" s="32"/>
      <c r="L29" s="75">
        <v>29</v>
      </c>
      <c r="M29" s="75"/>
      <c r="N29" s="70"/>
      <c r="O29" s="77" t="s">
        <v>179</v>
      </c>
      <c r="P29" s="79">
        <v>45167.799976851849</v>
      </c>
      <c r="Q29" s="77" t="s">
        <v>613</v>
      </c>
      <c r="R29" s="77">
        <v>0</v>
      </c>
      <c r="S29" s="77">
        <v>0</v>
      </c>
      <c r="T29" s="77">
        <v>0</v>
      </c>
      <c r="U29" s="77">
        <v>0</v>
      </c>
      <c r="V29" s="77">
        <v>12</v>
      </c>
      <c r="W29" s="82" t="s">
        <v>1563</v>
      </c>
      <c r="X29" s="77"/>
      <c r="Y29" s="77"/>
      <c r="Z29" s="77"/>
      <c r="AA29" s="77" t="s">
        <v>2204</v>
      </c>
      <c r="AB29" s="77" t="s">
        <v>2713</v>
      </c>
      <c r="AC29" s="82" t="s">
        <v>2722</v>
      </c>
      <c r="AD29" s="77" t="s">
        <v>2752</v>
      </c>
      <c r="AE29" s="80" t="str">
        <f>HYPERLINK("https://twitter.com/apilfibr/status/1696601604005282239")</f>
        <v>https://twitter.com/apilfibr/status/1696601604005282239</v>
      </c>
      <c r="AF29" s="79">
        <v>45167.799976851849</v>
      </c>
      <c r="AG29" s="85">
        <v>45167</v>
      </c>
      <c r="AH29" s="82" t="s">
        <v>2789</v>
      </c>
      <c r="AI29" s="77" t="b">
        <v>0</v>
      </c>
      <c r="AJ29" s="77" t="s">
        <v>3735</v>
      </c>
      <c r="AK29" s="77" t="s">
        <v>3752</v>
      </c>
      <c r="AL29" s="77" t="s">
        <v>3755</v>
      </c>
      <c r="AM29" s="77" t="s">
        <v>3759</v>
      </c>
      <c r="AN29" s="77" t="s">
        <v>3775</v>
      </c>
      <c r="AO29" s="77" t="s">
        <v>3793</v>
      </c>
      <c r="AP29" s="77" t="s">
        <v>3808</v>
      </c>
      <c r="AQ29" s="77" t="s">
        <v>3830</v>
      </c>
      <c r="AR29" s="77">
        <v>25008</v>
      </c>
      <c r="AS29" s="77"/>
      <c r="AT29" s="77"/>
      <c r="AU29" s="77"/>
      <c r="AV29" s="80" t="str">
        <f>HYPERLINK("https://pbs.twimg.com/ext_tw_video_thumb/1696601423746629635/pu/img/OgxsJ8jCFcyYfrUR.jpg")</f>
        <v>https://pbs.twimg.com/ext_tw_video_thumb/1696601423746629635/pu/img/OgxsJ8jCFcyYfrUR.jpg</v>
      </c>
      <c r="AW29" s="82" t="s">
        <v>4364</v>
      </c>
      <c r="AX29" s="82" t="s">
        <v>4364</v>
      </c>
      <c r="AY29" s="77"/>
      <c r="AZ29" s="82" t="s">
        <v>5615</v>
      </c>
      <c r="BA29" s="82" t="s">
        <v>5615</v>
      </c>
      <c r="BB29" s="82" t="s">
        <v>5615</v>
      </c>
      <c r="BC29" s="82" t="s">
        <v>4364</v>
      </c>
      <c r="BD29" s="82" t="s">
        <v>5864</v>
      </c>
      <c r="BE29" s="77"/>
      <c r="BF29" s="77"/>
      <c r="BG29" s="77"/>
      <c r="BH29" s="77"/>
      <c r="BI29" s="77"/>
    </row>
    <row r="30" spans="1:61" x14ac:dyDescent="0.25">
      <c r="A30" s="62" t="s">
        <v>244</v>
      </c>
      <c r="B30" s="62" t="s">
        <v>244</v>
      </c>
      <c r="C30" s="63"/>
      <c r="D30" s="64"/>
      <c r="E30" s="65"/>
      <c r="F30" s="66"/>
      <c r="G30" s="63"/>
      <c r="H30" s="67"/>
      <c r="I30" s="68"/>
      <c r="J30" s="68"/>
      <c r="K30" s="32"/>
      <c r="L30" s="75">
        <v>30</v>
      </c>
      <c r="M30" s="75"/>
      <c r="N30" s="70"/>
      <c r="O30" s="77" t="s">
        <v>179</v>
      </c>
      <c r="P30" s="79">
        <v>44940.918576388889</v>
      </c>
      <c r="Q30" s="77" t="s">
        <v>614</v>
      </c>
      <c r="R30" s="77">
        <v>0</v>
      </c>
      <c r="S30" s="77">
        <v>0</v>
      </c>
      <c r="T30" s="77">
        <v>0</v>
      </c>
      <c r="U30" s="77">
        <v>0</v>
      </c>
      <c r="V30" s="77">
        <v>18</v>
      </c>
      <c r="W30" s="82" t="s">
        <v>1564</v>
      </c>
      <c r="X30" s="80" t="str">
        <f>HYPERLINK("https://www.instagram.com/reel/CnaVuD4Dkch/?igshid=MDJmNzVkMjY=")</f>
        <v>https://www.instagram.com/reel/CnaVuD4Dkch/?igshid=MDJmNzVkMjY=</v>
      </c>
      <c r="Y30" s="77" t="s">
        <v>2130</v>
      </c>
      <c r="Z30" s="77"/>
      <c r="AA30" s="77"/>
      <c r="AB30" s="77"/>
      <c r="AC30" s="82" t="s">
        <v>2719</v>
      </c>
      <c r="AD30" s="77" t="s">
        <v>2752</v>
      </c>
      <c r="AE30" s="80" t="str">
        <f>HYPERLINK("https://twitter.com/giordanobarboza/status/1614382536196505600")</f>
        <v>https://twitter.com/giordanobarboza/status/1614382536196505600</v>
      </c>
      <c r="AF30" s="79">
        <v>44940.918576388889</v>
      </c>
      <c r="AG30" s="85">
        <v>44940</v>
      </c>
      <c r="AH30" s="82" t="s">
        <v>2790</v>
      </c>
      <c r="AI30" s="77" t="b">
        <v>0</v>
      </c>
      <c r="AJ30" s="77"/>
      <c r="AK30" s="77"/>
      <c r="AL30" s="77"/>
      <c r="AM30" s="77"/>
      <c r="AN30" s="77"/>
      <c r="AO30" s="77"/>
      <c r="AP30" s="77"/>
      <c r="AQ30" s="77"/>
      <c r="AR30" s="77"/>
      <c r="AS30" s="77"/>
      <c r="AT30" s="77"/>
      <c r="AU30" s="77"/>
      <c r="AV30" s="80" t="str">
        <f>HYPERLINK("https://pbs.twimg.com/profile_images/1038373598178762752/YRwR3-0X_normal.jpg")</f>
        <v>https://pbs.twimg.com/profile_images/1038373598178762752/YRwR3-0X_normal.jpg</v>
      </c>
      <c r="AW30" s="82" t="s">
        <v>4365</v>
      </c>
      <c r="AX30" s="82" t="s">
        <v>4365</v>
      </c>
      <c r="AY30" s="77"/>
      <c r="AZ30" s="82" t="s">
        <v>5615</v>
      </c>
      <c r="BA30" s="82" t="s">
        <v>5615</v>
      </c>
      <c r="BB30" s="82" t="s">
        <v>5615</v>
      </c>
      <c r="BC30" s="82" t="s">
        <v>4365</v>
      </c>
      <c r="BD30" s="82" t="s">
        <v>5865</v>
      </c>
      <c r="BE30" s="77"/>
      <c r="BF30" s="77"/>
      <c r="BG30" s="77"/>
      <c r="BH30" s="77"/>
      <c r="BI30" s="77"/>
    </row>
    <row r="31" spans="1:61" x14ac:dyDescent="0.25">
      <c r="A31" s="62" t="s">
        <v>245</v>
      </c>
      <c r="B31" s="62" t="s">
        <v>245</v>
      </c>
      <c r="C31" s="63"/>
      <c r="D31" s="64"/>
      <c r="E31" s="65"/>
      <c r="F31" s="66"/>
      <c r="G31" s="63"/>
      <c r="H31" s="67"/>
      <c r="I31" s="68"/>
      <c r="J31" s="68"/>
      <c r="K31" s="32"/>
      <c r="L31" s="75">
        <v>31</v>
      </c>
      <c r="M31" s="75"/>
      <c r="N31" s="70"/>
      <c r="O31" s="77" t="s">
        <v>179</v>
      </c>
      <c r="P31" s="79">
        <v>45073.556747685187</v>
      </c>
      <c r="Q31" s="77" t="s">
        <v>615</v>
      </c>
      <c r="R31" s="77">
        <v>0</v>
      </c>
      <c r="S31" s="77">
        <v>0</v>
      </c>
      <c r="T31" s="77">
        <v>0</v>
      </c>
      <c r="U31" s="77">
        <v>0</v>
      </c>
      <c r="V31" s="77">
        <v>13</v>
      </c>
      <c r="W31" s="82" t="s">
        <v>1565</v>
      </c>
      <c r="X31" s="77"/>
      <c r="Y31" s="77"/>
      <c r="Z31" s="77"/>
      <c r="AA31" s="77" t="s">
        <v>2205</v>
      </c>
      <c r="AB31" s="77" t="s">
        <v>2714</v>
      </c>
      <c r="AC31" s="82" t="s">
        <v>2724</v>
      </c>
      <c r="AD31" s="77" t="s">
        <v>2752</v>
      </c>
      <c r="AE31" s="80" t="str">
        <f>HYPERLINK("https://twitter.com/educandopessoas/status/1662449003559104516")</f>
        <v>https://twitter.com/educandopessoas/status/1662449003559104516</v>
      </c>
      <c r="AF31" s="79">
        <v>45073.556747685187</v>
      </c>
      <c r="AG31" s="85">
        <v>45073</v>
      </c>
      <c r="AH31" s="82" t="s">
        <v>2791</v>
      </c>
      <c r="AI31" s="77" t="b">
        <v>0</v>
      </c>
      <c r="AJ31" s="77"/>
      <c r="AK31" s="77"/>
      <c r="AL31" s="77"/>
      <c r="AM31" s="77"/>
      <c r="AN31" s="77"/>
      <c r="AO31" s="77"/>
      <c r="AP31" s="77"/>
      <c r="AQ31" s="77" t="s">
        <v>3831</v>
      </c>
      <c r="AR31" s="77"/>
      <c r="AS31" s="77"/>
      <c r="AT31" s="77"/>
      <c r="AU31" s="77"/>
      <c r="AV31" s="80" t="str">
        <f>HYPERLINK("https://pbs.twimg.com/media/FxI0jw8WIAMIFSu.jpg")</f>
        <v>https://pbs.twimg.com/media/FxI0jw8WIAMIFSu.jpg</v>
      </c>
      <c r="AW31" s="82" t="s">
        <v>4366</v>
      </c>
      <c r="AX31" s="82" t="s">
        <v>4366</v>
      </c>
      <c r="AY31" s="77"/>
      <c r="AZ31" s="82" t="s">
        <v>5615</v>
      </c>
      <c r="BA31" s="82" t="s">
        <v>5615</v>
      </c>
      <c r="BB31" s="82" t="s">
        <v>5615</v>
      </c>
      <c r="BC31" s="82" t="s">
        <v>4366</v>
      </c>
      <c r="BD31" s="82" t="s">
        <v>5866</v>
      </c>
      <c r="BE31" s="77"/>
      <c r="BF31" s="77"/>
      <c r="BG31" s="77"/>
      <c r="BH31" s="77"/>
      <c r="BI31" s="77"/>
    </row>
    <row r="32" spans="1:61" x14ac:dyDescent="0.25">
      <c r="A32" s="62" t="s">
        <v>246</v>
      </c>
      <c r="B32" s="62" t="s">
        <v>246</v>
      </c>
      <c r="C32" s="63"/>
      <c r="D32" s="64"/>
      <c r="E32" s="65"/>
      <c r="F32" s="66"/>
      <c r="G32" s="63"/>
      <c r="H32" s="67"/>
      <c r="I32" s="68"/>
      <c r="J32" s="68"/>
      <c r="K32" s="32"/>
      <c r="L32" s="75">
        <v>32</v>
      </c>
      <c r="M32" s="75"/>
      <c r="N32" s="70"/>
      <c r="O32" s="77" t="s">
        <v>179</v>
      </c>
      <c r="P32" s="79">
        <v>45104.323993055557</v>
      </c>
      <c r="Q32" s="77" t="s">
        <v>616</v>
      </c>
      <c r="R32" s="77">
        <v>0</v>
      </c>
      <c r="S32" s="77">
        <v>1</v>
      </c>
      <c r="T32" s="77">
        <v>0</v>
      </c>
      <c r="U32" s="77">
        <v>0</v>
      </c>
      <c r="V32" s="77">
        <v>56</v>
      </c>
      <c r="W32" s="82" t="s">
        <v>1566</v>
      </c>
      <c r="X32" s="77"/>
      <c r="Y32" s="77"/>
      <c r="Z32" s="77"/>
      <c r="AA32" s="77" t="s">
        <v>2206</v>
      </c>
      <c r="AB32" s="77" t="s">
        <v>2717</v>
      </c>
      <c r="AC32" s="82" t="s">
        <v>2722</v>
      </c>
      <c r="AD32" s="77" t="s">
        <v>2752</v>
      </c>
      <c r="AE32" s="80" t="str">
        <f>HYPERLINK("https://twitter.com/fairspinpt/status/1673598677594546178")</f>
        <v>https://twitter.com/fairspinpt/status/1673598677594546178</v>
      </c>
      <c r="AF32" s="79">
        <v>45104.323993055557</v>
      </c>
      <c r="AG32" s="85">
        <v>45104</v>
      </c>
      <c r="AH32" s="82" t="s">
        <v>2792</v>
      </c>
      <c r="AI32" s="77" t="b">
        <v>0</v>
      </c>
      <c r="AJ32" s="77"/>
      <c r="AK32" s="77"/>
      <c r="AL32" s="77"/>
      <c r="AM32" s="77"/>
      <c r="AN32" s="77"/>
      <c r="AO32" s="77"/>
      <c r="AP32" s="77"/>
      <c r="AQ32" s="77" t="s">
        <v>3832</v>
      </c>
      <c r="AR32" s="77"/>
      <c r="AS32" s="77"/>
      <c r="AT32" s="77"/>
      <c r="AU32" s="77"/>
      <c r="AV32" s="80" t="str">
        <f>HYPERLINK("https://pbs.twimg.com/tweet_video_thumb/FznRH33XsAEdgU2.jpg")</f>
        <v>https://pbs.twimg.com/tweet_video_thumb/FznRH33XsAEdgU2.jpg</v>
      </c>
      <c r="AW32" s="82" t="s">
        <v>4367</v>
      </c>
      <c r="AX32" s="82" t="s">
        <v>4367</v>
      </c>
      <c r="AY32" s="77"/>
      <c r="AZ32" s="82" t="s">
        <v>5615</v>
      </c>
      <c r="BA32" s="82" t="s">
        <v>5615</v>
      </c>
      <c r="BB32" s="82" t="s">
        <v>5615</v>
      </c>
      <c r="BC32" s="82" t="s">
        <v>4367</v>
      </c>
      <c r="BD32" s="82" t="s">
        <v>5867</v>
      </c>
      <c r="BE32" s="77"/>
      <c r="BF32" s="77"/>
      <c r="BG32" s="77"/>
      <c r="BH32" s="77"/>
      <c r="BI32" s="77"/>
    </row>
    <row r="33" spans="1:61" x14ac:dyDescent="0.25">
      <c r="A33" s="62" t="s">
        <v>247</v>
      </c>
      <c r="B33" s="62" t="s">
        <v>247</v>
      </c>
      <c r="C33" s="63"/>
      <c r="D33" s="64"/>
      <c r="E33" s="65"/>
      <c r="F33" s="66"/>
      <c r="G33" s="63"/>
      <c r="H33" s="67"/>
      <c r="I33" s="68"/>
      <c r="J33" s="68"/>
      <c r="K33" s="32"/>
      <c r="L33" s="75">
        <v>33</v>
      </c>
      <c r="M33" s="75"/>
      <c r="N33" s="70"/>
      <c r="O33" s="77" t="s">
        <v>179</v>
      </c>
      <c r="P33" s="79">
        <v>44995.459722222222</v>
      </c>
      <c r="Q33" s="77" t="s">
        <v>617</v>
      </c>
      <c r="R33" s="77">
        <v>0</v>
      </c>
      <c r="S33" s="77">
        <v>1</v>
      </c>
      <c r="T33" s="77">
        <v>0</v>
      </c>
      <c r="U33" s="77">
        <v>0</v>
      </c>
      <c r="V33" s="77">
        <v>22</v>
      </c>
      <c r="W33" s="82" t="s">
        <v>1567</v>
      </c>
      <c r="X33" s="77"/>
      <c r="Y33" s="77"/>
      <c r="Z33" s="77"/>
      <c r="AA33" s="77"/>
      <c r="AB33" s="77"/>
      <c r="AC33" s="82" t="s">
        <v>2722</v>
      </c>
      <c r="AD33" s="77" t="s">
        <v>2752</v>
      </c>
      <c r="AE33" s="80" t="str">
        <f>HYPERLINK("https://twitter.com/pedro_a_nery/status/1634147587455348736")</f>
        <v>https://twitter.com/pedro_a_nery/status/1634147587455348736</v>
      </c>
      <c r="AF33" s="79">
        <v>44995.459722222222</v>
      </c>
      <c r="AG33" s="85">
        <v>44995</v>
      </c>
      <c r="AH33" s="82" t="s">
        <v>2793</v>
      </c>
      <c r="AI33" s="77"/>
      <c r="AJ33" s="77"/>
      <c r="AK33" s="77"/>
      <c r="AL33" s="77"/>
      <c r="AM33" s="77"/>
      <c r="AN33" s="77"/>
      <c r="AO33" s="77"/>
      <c r="AP33" s="77"/>
      <c r="AQ33" s="77"/>
      <c r="AR33" s="77"/>
      <c r="AS33" s="77"/>
      <c r="AT33" s="77"/>
      <c r="AU33" s="77"/>
      <c r="AV33" s="80" t="str">
        <f>HYPERLINK("https://pbs.twimg.com/profile_images/1401962512455802881/bLfMmVCZ_normal.jpg")</f>
        <v>https://pbs.twimg.com/profile_images/1401962512455802881/bLfMmVCZ_normal.jpg</v>
      </c>
      <c r="AW33" s="82" t="s">
        <v>4368</v>
      </c>
      <c r="AX33" s="82" t="s">
        <v>4368</v>
      </c>
      <c r="AY33" s="77"/>
      <c r="AZ33" s="82" t="s">
        <v>5615</v>
      </c>
      <c r="BA33" s="82" t="s">
        <v>5615</v>
      </c>
      <c r="BB33" s="82" t="s">
        <v>5615</v>
      </c>
      <c r="BC33" s="82" t="s">
        <v>4368</v>
      </c>
      <c r="BD33" s="82" t="s">
        <v>5868</v>
      </c>
      <c r="BE33" s="77"/>
      <c r="BF33" s="77"/>
      <c r="BG33" s="77"/>
      <c r="BH33" s="77"/>
      <c r="BI33" s="77"/>
    </row>
    <row r="34" spans="1:61" x14ac:dyDescent="0.25">
      <c r="A34" s="62" t="s">
        <v>248</v>
      </c>
      <c r="B34" s="62" t="s">
        <v>248</v>
      </c>
      <c r="C34" s="63"/>
      <c r="D34" s="64"/>
      <c r="E34" s="65"/>
      <c r="F34" s="66"/>
      <c r="G34" s="63"/>
      <c r="H34" s="67"/>
      <c r="I34" s="68"/>
      <c r="J34" s="68"/>
      <c r="K34" s="32"/>
      <c r="L34" s="75">
        <v>34</v>
      </c>
      <c r="M34" s="75"/>
      <c r="N34" s="70"/>
      <c r="O34" s="77" t="s">
        <v>179</v>
      </c>
      <c r="P34" s="79">
        <v>44943.600775462961</v>
      </c>
      <c r="Q34" s="77" t="s">
        <v>618</v>
      </c>
      <c r="R34" s="77">
        <v>1</v>
      </c>
      <c r="S34" s="77">
        <v>0</v>
      </c>
      <c r="T34" s="77">
        <v>0</v>
      </c>
      <c r="U34" s="77">
        <v>0</v>
      </c>
      <c r="V34" s="77">
        <v>15</v>
      </c>
      <c r="W34" s="82" t="s">
        <v>1568</v>
      </c>
      <c r="X34" s="80" t="str">
        <f>HYPERLINK("https://bit.ly/comosairdasdividasagora")</f>
        <v>https://bit.ly/comosairdasdividasagora</v>
      </c>
      <c r="Y34" s="77" t="s">
        <v>2132</v>
      </c>
      <c r="Z34" s="77"/>
      <c r="AA34" s="77"/>
      <c r="AB34" s="77"/>
      <c r="AC34" s="82" t="s">
        <v>2722</v>
      </c>
      <c r="AD34" s="77" t="s">
        <v>2752</v>
      </c>
      <c r="AE34" s="80" t="str">
        <f>HYPERLINK("https://twitter.com/hmr1973/status/1615354532501897216")</f>
        <v>https://twitter.com/hmr1973/status/1615354532501897216</v>
      </c>
      <c r="AF34" s="79">
        <v>44943.600775462961</v>
      </c>
      <c r="AG34" s="85">
        <v>44943</v>
      </c>
      <c r="AH34" s="82" t="s">
        <v>2794</v>
      </c>
      <c r="AI34" s="77" t="b">
        <v>0</v>
      </c>
      <c r="AJ34" s="77"/>
      <c r="AK34" s="77"/>
      <c r="AL34" s="77"/>
      <c r="AM34" s="77"/>
      <c r="AN34" s="77"/>
      <c r="AO34" s="77"/>
      <c r="AP34" s="77"/>
      <c r="AQ34" s="77"/>
      <c r="AR34" s="77"/>
      <c r="AS34" s="77"/>
      <c r="AT34" s="77"/>
      <c r="AU34" s="77"/>
      <c r="AV34" s="80" t="str">
        <f>HYPERLINK("https://pbs.twimg.com/profile_images/2735288547/9e72f7848f0cd62ba984ad7d516c1762_normal.jpeg")</f>
        <v>https://pbs.twimg.com/profile_images/2735288547/9e72f7848f0cd62ba984ad7d516c1762_normal.jpeg</v>
      </c>
      <c r="AW34" s="82" t="s">
        <v>4369</v>
      </c>
      <c r="AX34" s="82" t="s">
        <v>4369</v>
      </c>
      <c r="AY34" s="77"/>
      <c r="AZ34" s="82" t="s">
        <v>5615</v>
      </c>
      <c r="BA34" s="82" t="s">
        <v>5615</v>
      </c>
      <c r="BB34" s="82" t="s">
        <v>5615</v>
      </c>
      <c r="BC34" s="82" t="s">
        <v>4369</v>
      </c>
      <c r="BD34" s="77">
        <v>13200062</v>
      </c>
      <c r="BE34" s="77"/>
      <c r="BF34" s="77"/>
      <c r="BG34" s="77"/>
      <c r="BH34" s="77"/>
      <c r="BI34" s="77"/>
    </row>
    <row r="35" spans="1:61" x14ac:dyDescent="0.25">
      <c r="A35" s="62" t="s">
        <v>249</v>
      </c>
      <c r="B35" s="62" t="s">
        <v>249</v>
      </c>
      <c r="C35" s="63"/>
      <c r="D35" s="64"/>
      <c r="E35" s="65"/>
      <c r="F35" s="66"/>
      <c r="G35" s="63"/>
      <c r="H35" s="67"/>
      <c r="I35" s="68"/>
      <c r="J35" s="68"/>
      <c r="K35" s="32"/>
      <c r="L35" s="75">
        <v>35</v>
      </c>
      <c r="M35" s="75"/>
      <c r="N35" s="70"/>
      <c r="O35" s="77" t="s">
        <v>179</v>
      </c>
      <c r="P35" s="79">
        <v>45053.684988425928</v>
      </c>
      <c r="Q35" s="77" t="s">
        <v>619</v>
      </c>
      <c r="R35" s="77">
        <v>0</v>
      </c>
      <c r="S35" s="77">
        <v>0</v>
      </c>
      <c r="T35" s="77">
        <v>0</v>
      </c>
      <c r="U35" s="77">
        <v>0</v>
      </c>
      <c r="V35" s="77">
        <v>13</v>
      </c>
      <c r="W35" s="82" t="s">
        <v>1569</v>
      </c>
      <c r="X35" s="77"/>
      <c r="Y35" s="77"/>
      <c r="Z35" s="77"/>
      <c r="AA35" s="77"/>
      <c r="AB35" s="77"/>
      <c r="AC35" s="82" t="s">
        <v>2719</v>
      </c>
      <c r="AD35" s="77" t="s">
        <v>2752</v>
      </c>
      <c r="AE35" s="80" t="str">
        <f>HYPERLINK("https://twitter.com/evandrodutrabtc/status/1655247719064129536")</f>
        <v>https://twitter.com/evandrodutrabtc/status/1655247719064129536</v>
      </c>
      <c r="AF35" s="79">
        <v>45053.684988425928</v>
      </c>
      <c r="AG35" s="85">
        <v>45053</v>
      </c>
      <c r="AH35" s="82" t="s">
        <v>2795</v>
      </c>
      <c r="AI35" s="77"/>
      <c r="AJ35" s="77"/>
      <c r="AK35" s="77"/>
      <c r="AL35" s="77"/>
      <c r="AM35" s="77"/>
      <c r="AN35" s="77"/>
      <c r="AO35" s="77"/>
      <c r="AP35" s="77"/>
      <c r="AQ35" s="77"/>
      <c r="AR35" s="77"/>
      <c r="AS35" s="77"/>
      <c r="AT35" s="77"/>
      <c r="AU35" s="77"/>
      <c r="AV35" s="80" t="str">
        <f>HYPERLINK("https://pbs.twimg.com/profile_images/1518399483196882944/_-SEZeLq_normal.jpg")</f>
        <v>https://pbs.twimg.com/profile_images/1518399483196882944/_-SEZeLq_normal.jpg</v>
      </c>
      <c r="AW35" s="82" t="s">
        <v>4370</v>
      </c>
      <c r="AX35" s="82" t="s">
        <v>4370</v>
      </c>
      <c r="AY35" s="77"/>
      <c r="AZ35" s="82" t="s">
        <v>5615</v>
      </c>
      <c r="BA35" s="82" t="s">
        <v>5615</v>
      </c>
      <c r="BB35" s="82" t="s">
        <v>5615</v>
      </c>
      <c r="BC35" s="82" t="s">
        <v>4370</v>
      </c>
      <c r="BD35" s="82" t="s">
        <v>5869</v>
      </c>
      <c r="BE35" s="77"/>
      <c r="BF35" s="77"/>
      <c r="BG35" s="77"/>
      <c r="BH35" s="77"/>
      <c r="BI35" s="77"/>
    </row>
    <row r="36" spans="1:61" x14ac:dyDescent="0.25">
      <c r="A36" s="62" t="s">
        <v>250</v>
      </c>
      <c r="B36" s="62" t="s">
        <v>250</v>
      </c>
      <c r="C36" s="63"/>
      <c r="D36" s="64"/>
      <c r="E36" s="65"/>
      <c r="F36" s="66"/>
      <c r="G36" s="63"/>
      <c r="H36" s="67"/>
      <c r="I36" s="68"/>
      <c r="J36" s="68"/>
      <c r="K36" s="32"/>
      <c r="L36" s="75">
        <v>36</v>
      </c>
      <c r="M36" s="75"/>
      <c r="N36" s="70"/>
      <c r="O36" s="77" t="s">
        <v>179</v>
      </c>
      <c r="P36" s="79">
        <v>45155.801701388889</v>
      </c>
      <c r="Q36" s="77" t="s">
        <v>620</v>
      </c>
      <c r="R36" s="77">
        <v>0</v>
      </c>
      <c r="S36" s="77">
        <v>0</v>
      </c>
      <c r="T36" s="77">
        <v>0</v>
      </c>
      <c r="U36" s="77">
        <v>0</v>
      </c>
      <c r="V36" s="77">
        <v>193</v>
      </c>
      <c r="W36" s="82" t="s">
        <v>1570</v>
      </c>
      <c r="X36" s="80" t="str">
        <f>HYPERLINK("https://tinyurl.com/28f3goow")</f>
        <v>https://tinyurl.com/28f3goow</v>
      </c>
      <c r="Y36" s="77" t="s">
        <v>2133</v>
      </c>
      <c r="Z36" s="77"/>
      <c r="AA36" s="77" t="s">
        <v>2207</v>
      </c>
      <c r="AB36" s="77" t="s">
        <v>2714</v>
      </c>
      <c r="AC36" s="82" t="s">
        <v>2725</v>
      </c>
      <c r="AD36" s="77" t="s">
        <v>2752</v>
      </c>
      <c r="AE36" s="80" t="str">
        <f>HYPERLINK("https://twitter.com/inteligentbolsa/status/1692253573764063674")</f>
        <v>https://twitter.com/inteligentbolsa/status/1692253573764063674</v>
      </c>
      <c r="AF36" s="79">
        <v>45155.801701388889</v>
      </c>
      <c r="AG36" s="85">
        <v>45155</v>
      </c>
      <c r="AH36" s="82" t="s">
        <v>2796</v>
      </c>
      <c r="AI36" s="77" t="b">
        <v>0</v>
      </c>
      <c r="AJ36" s="77"/>
      <c r="AK36" s="77"/>
      <c r="AL36" s="77"/>
      <c r="AM36" s="77"/>
      <c r="AN36" s="77"/>
      <c r="AO36" s="77"/>
      <c r="AP36" s="77"/>
      <c r="AQ36" s="77" t="s">
        <v>3833</v>
      </c>
      <c r="AR36" s="77"/>
      <c r="AS36" s="77"/>
      <c r="AT36" s="77"/>
      <c r="AU36" s="77"/>
      <c r="AV36" s="80" t="str">
        <f>HYPERLINK("https://pbs.twimg.com/media/F3wXqBXWkAAnz8d.jpg")</f>
        <v>https://pbs.twimg.com/media/F3wXqBXWkAAnz8d.jpg</v>
      </c>
      <c r="AW36" s="82" t="s">
        <v>4371</v>
      </c>
      <c r="AX36" s="82" t="s">
        <v>4371</v>
      </c>
      <c r="AY36" s="77"/>
      <c r="AZ36" s="82" t="s">
        <v>5615</v>
      </c>
      <c r="BA36" s="82" t="s">
        <v>5615</v>
      </c>
      <c r="BB36" s="82" t="s">
        <v>5615</v>
      </c>
      <c r="BC36" s="82" t="s">
        <v>4371</v>
      </c>
      <c r="BD36" s="82" t="s">
        <v>5870</v>
      </c>
      <c r="BE36" s="77"/>
      <c r="BF36" s="77"/>
      <c r="BG36" s="77"/>
      <c r="BH36" s="77"/>
      <c r="BI36" s="77"/>
    </row>
    <row r="37" spans="1:61" x14ac:dyDescent="0.25">
      <c r="A37" s="62" t="s">
        <v>251</v>
      </c>
      <c r="B37" s="62" t="s">
        <v>251</v>
      </c>
      <c r="C37" s="63"/>
      <c r="D37" s="64"/>
      <c r="E37" s="65"/>
      <c r="F37" s="66"/>
      <c r="G37" s="63"/>
      <c r="H37" s="67"/>
      <c r="I37" s="68"/>
      <c r="J37" s="68"/>
      <c r="K37" s="32"/>
      <c r="L37" s="75">
        <v>37</v>
      </c>
      <c r="M37" s="75"/>
      <c r="N37" s="70"/>
      <c r="O37" s="77" t="s">
        <v>179</v>
      </c>
      <c r="P37" s="79">
        <v>45130.916898148149</v>
      </c>
      <c r="Q37" s="77" t="s">
        <v>621</v>
      </c>
      <c r="R37" s="77">
        <v>0</v>
      </c>
      <c r="S37" s="77">
        <v>0</v>
      </c>
      <c r="T37" s="77">
        <v>0</v>
      </c>
      <c r="U37" s="77">
        <v>0</v>
      </c>
      <c r="V37" s="77">
        <v>18</v>
      </c>
      <c r="W37" s="82" t="s">
        <v>1571</v>
      </c>
      <c r="X37" s="77"/>
      <c r="Y37" s="77"/>
      <c r="Z37" s="77"/>
      <c r="AA37" s="77"/>
      <c r="AB37" s="77"/>
      <c r="AC37" s="82" t="s">
        <v>2726</v>
      </c>
      <c r="AD37" s="77" t="s">
        <v>2752</v>
      </c>
      <c r="AE37" s="80" t="str">
        <f>HYPERLINK("https://twitter.com/giovaniaandre/status/1683235624092942338")</f>
        <v>https://twitter.com/giovaniaandre/status/1683235624092942338</v>
      </c>
      <c r="AF37" s="79">
        <v>45130.916898148149</v>
      </c>
      <c r="AG37" s="85">
        <v>45130</v>
      </c>
      <c r="AH37" s="82" t="s">
        <v>2797</v>
      </c>
      <c r="AI37" s="77"/>
      <c r="AJ37" s="77"/>
      <c r="AK37" s="77"/>
      <c r="AL37" s="77"/>
      <c r="AM37" s="77"/>
      <c r="AN37" s="77"/>
      <c r="AO37" s="77"/>
      <c r="AP37" s="77"/>
      <c r="AQ37" s="77"/>
      <c r="AR37" s="77"/>
      <c r="AS37" s="77"/>
      <c r="AT37" s="77"/>
      <c r="AU37" s="77"/>
      <c r="AV37" s="80" t="str">
        <f>HYPERLINK("https://pbs.twimg.com/profile_images/1599968473505038339/Tlfu66HJ_normal.jpg")</f>
        <v>https://pbs.twimg.com/profile_images/1599968473505038339/Tlfu66HJ_normal.jpg</v>
      </c>
      <c r="AW37" s="82" t="s">
        <v>4372</v>
      </c>
      <c r="AX37" s="82" t="s">
        <v>4372</v>
      </c>
      <c r="AY37" s="77"/>
      <c r="AZ37" s="82" t="s">
        <v>5615</v>
      </c>
      <c r="BA37" s="82" t="s">
        <v>5615</v>
      </c>
      <c r="BB37" s="82" t="s">
        <v>5615</v>
      </c>
      <c r="BC37" s="82" t="s">
        <v>4372</v>
      </c>
      <c r="BD37" s="82" t="s">
        <v>5871</v>
      </c>
      <c r="BE37" s="77"/>
      <c r="BF37" s="77"/>
      <c r="BG37" s="77"/>
      <c r="BH37" s="77"/>
      <c r="BI37" s="77"/>
    </row>
    <row r="38" spans="1:61" x14ac:dyDescent="0.25">
      <c r="A38" s="62" t="s">
        <v>252</v>
      </c>
      <c r="B38" s="62" t="s">
        <v>252</v>
      </c>
      <c r="C38" s="63"/>
      <c r="D38" s="64"/>
      <c r="E38" s="65"/>
      <c r="F38" s="66"/>
      <c r="G38" s="63"/>
      <c r="H38" s="67"/>
      <c r="I38" s="68"/>
      <c r="J38" s="68"/>
      <c r="K38" s="32"/>
      <c r="L38" s="75">
        <v>38</v>
      </c>
      <c r="M38" s="75"/>
      <c r="N38" s="70"/>
      <c r="O38" s="77" t="s">
        <v>179</v>
      </c>
      <c r="P38" s="79">
        <v>45120.727488425924</v>
      </c>
      <c r="Q38" s="77" t="s">
        <v>622</v>
      </c>
      <c r="R38" s="77">
        <v>0</v>
      </c>
      <c r="S38" s="77">
        <v>1</v>
      </c>
      <c r="T38" s="77">
        <v>0</v>
      </c>
      <c r="U38" s="77">
        <v>0</v>
      </c>
      <c r="V38" s="77">
        <v>6</v>
      </c>
      <c r="W38" s="82" t="s">
        <v>1572</v>
      </c>
      <c r="X38" s="77"/>
      <c r="Y38" s="77"/>
      <c r="Z38" s="77"/>
      <c r="AA38" s="77" t="s">
        <v>2208</v>
      </c>
      <c r="AB38" s="77" t="s">
        <v>2714</v>
      </c>
      <c r="AC38" s="82" t="s">
        <v>2720</v>
      </c>
      <c r="AD38" s="77" t="s">
        <v>2752</v>
      </c>
      <c r="AE38" s="80" t="str">
        <f>HYPERLINK("https://twitter.com/silvanarosaofic/status/1679543107845496835")</f>
        <v>https://twitter.com/silvanarosaofic/status/1679543107845496835</v>
      </c>
      <c r="AF38" s="79">
        <v>45120.727488425924</v>
      </c>
      <c r="AG38" s="85">
        <v>45120</v>
      </c>
      <c r="AH38" s="82" t="s">
        <v>2798</v>
      </c>
      <c r="AI38" s="77" t="b">
        <v>0</v>
      </c>
      <c r="AJ38" s="77"/>
      <c r="AK38" s="77"/>
      <c r="AL38" s="77"/>
      <c r="AM38" s="77"/>
      <c r="AN38" s="77"/>
      <c r="AO38" s="77"/>
      <c r="AP38" s="77"/>
      <c r="AQ38" s="77" t="s">
        <v>3834</v>
      </c>
      <c r="AR38" s="77"/>
      <c r="AS38" s="77"/>
      <c r="AT38" s="77"/>
      <c r="AU38" s="77"/>
      <c r="AV38" s="80" t="str">
        <f>HYPERLINK("https://pbs.twimg.com/media/F07vjWkWIAIHHEb.jpg")</f>
        <v>https://pbs.twimg.com/media/F07vjWkWIAIHHEb.jpg</v>
      </c>
      <c r="AW38" s="82" t="s">
        <v>4373</v>
      </c>
      <c r="AX38" s="82" t="s">
        <v>4373</v>
      </c>
      <c r="AY38" s="77"/>
      <c r="AZ38" s="82" t="s">
        <v>5615</v>
      </c>
      <c r="BA38" s="82" t="s">
        <v>5615</v>
      </c>
      <c r="BB38" s="82" t="s">
        <v>5615</v>
      </c>
      <c r="BC38" s="82" t="s">
        <v>4373</v>
      </c>
      <c r="BD38" s="82" t="s">
        <v>5872</v>
      </c>
      <c r="BE38" s="77"/>
      <c r="BF38" s="77"/>
      <c r="BG38" s="77"/>
      <c r="BH38" s="77"/>
      <c r="BI38" s="77"/>
    </row>
    <row r="39" spans="1:61" x14ac:dyDescent="0.25">
      <c r="A39" s="62" t="s">
        <v>253</v>
      </c>
      <c r="B39" s="62" t="s">
        <v>253</v>
      </c>
      <c r="C39" s="63"/>
      <c r="D39" s="64"/>
      <c r="E39" s="65"/>
      <c r="F39" s="66"/>
      <c r="G39" s="63"/>
      <c r="H39" s="67"/>
      <c r="I39" s="68"/>
      <c r="J39" s="68"/>
      <c r="K39" s="32"/>
      <c r="L39" s="75">
        <v>39</v>
      </c>
      <c r="M39" s="75"/>
      <c r="N39" s="70"/>
      <c r="O39" s="77" t="s">
        <v>179</v>
      </c>
      <c r="P39" s="79">
        <v>45046.754791666666</v>
      </c>
      <c r="Q39" s="77" t="s">
        <v>623</v>
      </c>
      <c r="R39" s="77">
        <v>0</v>
      </c>
      <c r="S39" s="77">
        <v>0</v>
      </c>
      <c r="T39" s="77">
        <v>0</v>
      </c>
      <c r="U39" s="77">
        <v>0</v>
      </c>
      <c r="V39" s="77">
        <v>11</v>
      </c>
      <c r="W39" s="82" t="s">
        <v>1573</v>
      </c>
      <c r="X39" s="77"/>
      <c r="Y39" s="77"/>
      <c r="Z39" s="77"/>
      <c r="AA39" s="77"/>
      <c r="AB39" s="77"/>
      <c r="AC39" s="82" t="s">
        <v>2722</v>
      </c>
      <c r="AD39" s="77" t="s">
        <v>2752</v>
      </c>
      <c r="AE39" s="80" t="str">
        <f>HYPERLINK("https://twitter.com/uchoavf/status/1652736299294502913")</f>
        <v>https://twitter.com/uchoavf/status/1652736299294502913</v>
      </c>
      <c r="AF39" s="79">
        <v>45046.754791666666</v>
      </c>
      <c r="AG39" s="85">
        <v>45046</v>
      </c>
      <c r="AH39" s="82" t="s">
        <v>2799</v>
      </c>
      <c r="AI39" s="77"/>
      <c r="AJ39" s="77"/>
      <c r="AK39" s="77"/>
      <c r="AL39" s="77"/>
      <c r="AM39" s="77"/>
      <c r="AN39" s="77"/>
      <c r="AO39" s="77"/>
      <c r="AP39" s="77"/>
      <c r="AQ39" s="77"/>
      <c r="AR39" s="77"/>
      <c r="AS39" s="77"/>
      <c r="AT39" s="77"/>
      <c r="AU39" s="77"/>
      <c r="AV39" s="80" t="str">
        <f>HYPERLINK("https://pbs.twimg.com/profile_images/1510225048971489284/Z_xI6ZEz_normal.png")</f>
        <v>https://pbs.twimg.com/profile_images/1510225048971489284/Z_xI6ZEz_normal.png</v>
      </c>
      <c r="AW39" s="82" t="s">
        <v>4374</v>
      </c>
      <c r="AX39" s="82" t="s">
        <v>4374</v>
      </c>
      <c r="AY39" s="77"/>
      <c r="AZ39" s="82" t="s">
        <v>5615</v>
      </c>
      <c r="BA39" s="82" t="s">
        <v>5615</v>
      </c>
      <c r="BB39" s="82" t="s">
        <v>5615</v>
      </c>
      <c r="BC39" s="82" t="s">
        <v>4374</v>
      </c>
      <c r="BD39" s="82" t="s">
        <v>5873</v>
      </c>
      <c r="BE39" s="77"/>
      <c r="BF39" s="77"/>
      <c r="BG39" s="77"/>
      <c r="BH39" s="77"/>
      <c r="BI39" s="77"/>
    </row>
    <row r="40" spans="1:61" x14ac:dyDescent="0.25">
      <c r="A40" s="62" t="s">
        <v>254</v>
      </c>
      <c r="B40" s="62" t="s">
        <v>565</v>
      </c>
      <c r="C40" s="63"/>
      <c r="D40" s="64"/>
      <c r="E40" s="65"/>
      <c r="F40" s="66"/>
      <c r="G40" s="63"/>
      <c r="H40" s="67"/>
      <c r="I40" s="68"/>
      <c r="J40" s="68"/>
      <c r="K40" s="32"/>
      <c r="L40" s="75">
        <v>40</v>
      </c>
      <c r="M40" s="75"/>
      <c r="N40" s="70"/>
      <c r="O40" s="77" t="s">
        <v>583</v>
      </c>
      <c r="P40" s="79">
        <v>45189.797731481478</v>
      </c>
      <c r="Q40" s="77" t="s">
        <v>624</v>
      </c>
      <c r="R40" s="77">
        <v>0</v>
      </c>
      <c r="S40" s="77">
        <v>1</v>
      </c>
      <c r="T40" s="77">
        <v>1</v>
      </c>
      <c r="U40" s="77">
        <v>0</v>
      </c>
      <c r="V40" s="77">
        <v>7</v>
      </c>
      <c r="W40" s="82" t="s">
        <v>1574</v>
      </c>
      <c r="X40" s="77"/>
      <c r="Y40" s="77"/>
      <c r="Z40" s="77" t="s">
        <v>565</v>
      </c>
      <c r="AA40" s="77"/>
      <c r="AB40" s="77"/>
      <c r="AC40" s="82" t="s">
        <v>2719</v>
      </c>
      <c r="AD40" s="77" t="s">
        <v>2752</v>
      </c>
      <c r="AE40" s="80" t="str">
        <f>HYPERLINK("https://twitter.com/crypnov4/status/1704573324024500378")</f>
        <v>https://twitter.com/crypnov4/status/1704573324024500378</v>
      </c>
      <c r="AF40" s="79">
        <v>45189.797731481478</v>
      </c>
      <c r="AG40" s="85">
        <v>45189</v>
      </c>
      <c r="AH40" s="82" t="s">
        <v>2800</v>
      </c>
      <c r="AI40" s="77"/>
      <c r="AJ40" s="77"/>
      <c r="AK40" s="77"/>
      <c r="AL40" s="77"/>
      <c r="AM40" s="77"/>
      <c r="AN40" s="77"/>
      <c r="AO40" s="77"/>
      <c r="AP40" s="77"/>
      <c r="AQ40" s="77"/>
      <c r="AR40" s="77"/>
      <c r="AS40" s="77"/>
      <c r="AT40" s="77"/>
      <c r="AU40" s="77"/>
      <c r="AV40" s="80" t="str">
        <f>HYPERLINK("https://pbs.twimg.com/profile_images/1694784418395664384/mYFevYJG_normal.jpg")</f>
        <v>https://pbs.twimg.com/profile_images/1694784418395664384/mYFevYJG_normal.jpg</v>
      </c>
      <c r="AW40" s="82" t="s">
        <v>4375</v>
      </c>
      <c r="AX40" s="82" t="s">
        <v>5327</v>
      </c>
      <c r="AY40" s="82" t="s">
        <v>5578</v>
      </c>
      <c r="AZ40" s="82" t="s">
        <v>5327</v>
      </c>
      <c r="BA40" s="82" t="s">
        <v>5615</v>
      </c>
      <c r="BB40" s="82" t="s">
        <v>5615</v>
      </c>
      <c r="BC40" s="82" t="s">
        <v>5327</v>
      </c>
      <c r="BD40" s="82" t="s">
        <v>5874</v>
      </c>
      <c r="BE40" s="77"/>
      <c r="BF40" s="77"/>
      <c r="BG40" s="77"/>
      <c r="BH40" s="77"/>
      <c r="BI40" s="77"/>
    </row>
    <row r="41" spans="1:61" x14ac:dyDescent="0.25">
      <c r="A41" s="62" t="s">
        <v>255</v>
      </c>
      <c r="B41" s="62" t="s">
        <v>255</v>
      </c>
      <c r="C41" s="63"/>
      <c r="D41" s="64"/>
      <c r="E41" s="65"/>
      <c r="F41" s="66"/>
      <c r="G41" s="63"/>
      <c r="H41" s="67"/>
      <c r="I41" s="68"/>
      <c r="J41" s="68"/>
      <c r="K41" s="32"/>
      <c r="L41" s="75">
        <v>41</v>
      </c>
      <c r="M41" s="75"/>
      <c r="N41" s="70"/>
      <c r="O41" s="77" t="s">
        <v>179</v>
      </c>
      <c r="P41" s="79">
        <v>45110.671805555554</v>
      </c>
      <c r="Q41" s="77" t="s">
        <v>625</v>
      </c>
      <c r="R41" s="77">
        <v>0</v>
      </c>
      <c r="S41" s="77">
        <v>0</v>
      </c>
      <c r="T41" s="77">
        <v>0</v>
      </c>
      <c r="U41" s="77">
        <v>0</v>
      </c>
      <c r="V41" s="77"/>
      <c r="W41" s="82" t="s">
        <v>1575</v>
      </c>
      <c r="X41" s="80" t="str">
        <f>HYPERLINK("https://bit.ly/43matcZ")</f>
        <v>https://bit.ly/43matcZ</v>
      </c>
      <c r="Y41" s="77" t="s">
        <v>2132</v>
      </c>
      <c r="Z41" s="77"/>
      <c r="AA41" s="77"/>
      <c r="AB41" s="77"/>
      <c r="AC41" s="82" t="s">
        <v>2722</v>
      </c>
      <c r="AD41" s="77" t="s">
        <v>2752</v>
      </c>
      <c r="AE41" s="80" t="str">
        <f>HYPERLINK("https://twitter.com/breenossantos/status/1675899050313281537")</f>
        <v>https://twitter.com/breenossantos/status/1675899050313281537</v>
      </c>
      <c r="AF41" s="79">
        <v>45110.671805555554</v>
      </c>
      <c r="AG41" s="85">
        <v>45110</v>
      </c>
      <c r="AH41" s="82" t="s">
        <v>2801</v>
      </c>
      <c r="AI41" s="77" t="b">
        <v>0</v>
      </c>
      <c r="AJ41" s="77"/>
      <c r="AK41" s="77"/>
      <c r="AL41" s="77"/>
      <c r="AM41" s="77"/>
      <c r="AN41" s="77"/>
      <c r="AO41" s="77"/>
      <c r="AP41" s="77"/>
      <c r="AQ41" s="77"/>
      <c r="AR41" s="77"/>
      <c r="AS41" s="77"/>
      <c r="AT41" s="77"/>
      <c r="AU41" s="77"/>
      <c r="AV41" s="80" t="str">
        <f>HYPERLINK("https://pbs.twimg.com/profile_images/1675551221371793409/ZF-959g0_normal.jpg")</f>
        <v>https://pbs.twimg.com/profile_images/1675551221371793409/ZF-959g0_normal.jpg</v>
      </c>
      <c r="AW41" s="82" t="s">
        <v>4376</v>
      </c>
      <c r="AX41" s="82" t="s">
        <v>4376</v>
      </c>
      <c r="AY41" s="77"/>
      <c r="AZ41" s="82" t="s">
        <v>5615</v>
      </c>
      <c r="BA41" s="82" t="s">
        <v>5615</v>
      </c>
      <c r="BB41" s="82" t="s">
        <v>5615</v>
      </c>
      <c r="BC41" s="82" t="s">
        <v>4376</v>
      </c>
      <c r="BD41" s="82" t="s">
        <v>5875</v>
      </c>
      <c r="BE41" s="77"/>
      <c r="BF41" s="77"/>
      <c r="BG41" s="77"/>
      <c r="BH41" s="77"/>
      <c r="BI41" s="77"/>
    </row>
    <row r="42" spans="1:61" x14ac:dyDescent="0.25">
      <c r="A42" s="62" t="s">
        <v>256</v>
      </c>
      <c r="B42" s="62" t="s">
        <v>566</v>
      </c>
      <c r="C42" s="63"/>
      <c r="D42" s="64"/>
      <c r="E42" s="65"/>
      <c r="F42" s="66"/>
      <c r="G42" s="63"/>
      <c r="H42" s="67"/>
      <c r="I42" s="68"/>
      <c r="J42" s="68"/>
      <c r="K42" s="32"/>
      <c r="L42" s="75">
        <v>42</v>
      </c>
      <c r="M42" s="75"/>
      <c r="N42" s="70"/>
      <c r="O42" s="77" t="s">
        <v>584</v>
      </c>
      <c r="P42" s="79">
        <v>45098.747557870367</v>
      </c>
      <c r="Q42" s="77" t="s">
        <v>626</v>
      </c>
      <c r="R42" s="77">
        <v>0</v>
      </c>
      <c r="S42" s="77">
        <v>0</v>
      </c>
      <c r="T42" s="77">
        <v>0</v>
      </c>
      <c r="U42" s="77">
        <v>0</v>
      </c>
      <c r="V42" s="77">
        <v>16</v>
      </c>
      <c r="W42" s="82" t="s">
        <v>1563</v>
      </c>
      <c r="X42" s="77"/>
      <c r="Y42" s="77"/>
      <c r="Z42" s="77" t="s">
        <v>566</v>
      </c>
      <c r="AA42" s="77"/>
      <c r="AB42" s="77"/>
      <c r="AC42" s="82" t="s">
        <v>2722</v>
      </c>
      <c r="AD42" s="77" t="s">
        <v>2752</v>
      </c>
      <c r="AE42" s="80" t="str">
        <f>HYPERLINK("https://twitter.com/bitfreedomgus/status/1671577846328745986")</f>
        <v>https://twitter.com/bitfreedomgus/status/1671577846328745986</v>
      </c>
      <c r="AF42" s="79">
        <v>45098.747557870367</v>
      </c>
      <c r="AG42" s="85">
        <v>45098</v>
      </c>
      <c r="AH42" s="82" t="s">
        <v>2802</v>
      </c>
      <c r="AI42" s="77"/>
      <c r="AJ42" s="77"/>
      <c r="AK42" s="77"/>
      <c r="AL42" s="77"/>
      <c r="AM42" s="77"/>
      <c r="AN42" s="77"/>
      <c r="AO42" s="77"/>
      <c r="AP42" s="77"/>
      <c r="AQ42" s="77"/>
      <c r="AR42" s="77"/>
      <c r="AS42" s="77"/>
      <c r="AT42" s="77"/>
      <c r="AU42" s="77"/>
      <c r="AV42" s="80" t="str">
        <f>HYPERLINK("https://pbs.twimg.com/profile_images/1654129215749656576/AuddxuuG_normal.jpg")</f>
        <v>https://pbs.twimg.com/profile_images/1654129215749656576/AuddxuuG_normal.jpg</v>
      </c>
      <c r="AW42" s="82" t="s">
        <v>4377</v>
      </c>
      <c r="AX42" s="82" t="s">
        <v>4377</v>
      </c>
      <c r="AY42" s="82" t="s">
        <v>5579</v>
      </c>
      <c r="AZ42" s="82" t="s">
        <v>5615</v>
      </c>
      <c r="BA42" s="82" t="s">
        <v>5847</v>
      </c>
      <c r="BB42" s="82" t="s">
        <v>5615</v>
      </c>
      <c r="BC42" s="82" t="s">
        <v>5847</v>
      </c>
      <c r="BD42" s="82" t="s">
        <v>5876</v>
      </c>
      <c r="BE42" s="77"/>
      <c r="BF42" s="77"/>
      <c r="BG42" s="77"/>
      <c r="BH42" s="77"/>
      <c r="BI42" s="77"/>
    </row>
    <row r="43" spans="1:61" x14ac:dyDescent="0.25">
      <c r="A43" s="62" t="s">
        <v>256</v>
      </c>
      <c r="B43" s="62" t="s">
        <v>566</v>
      </c>
      <c r="C43" s="63"/>
      <c r="D43" s="64"/>
      <c r="E43" s="65"/>
      <c r="F43" s="66"/>
      <c r="G43" s="63"/>
      <c r="H43" s="67"/>
      <c r="I43" s="68"/>
      <c r="J43" s="68"/>
      <c r="K43" s="32"/>
      <c r="L43" s="75">
        <v>43</v>
      </c>
      <c r="M43" s="75"/>
      <c r="N43" s="70"/>
      <c r="O43" s="77" t="s">
        <v>585</v>
      </c>
      <c r="P43" s="79">
        <v>45098.747557870367</v>
      </c>
      <c r="Q43" s="77" t="s">
        <v>626</v>
      </c>
      <c r="R43" s="77">
        <v>0</v>
      </c>
      <c r="S43" s="77">
        <v>0</v>
      </c>
      <c r="T43" s="77">
        <v>0</v>
      </c>
      <c r="U43" s="77">
        <v>0</v>
      </c>
      <c r="V43" s="77">
        <v>16</v>
      </c>
      <c r="W43" s="82" t="s">
        <v>1563</v>
      </c>
      <c r="X43" s="77"/>
      <c r="Y43" s="77"/>
      <c r="Z43" s="77" t="s">
        <v>566</v>
      </c>
      <c r="AA43" s="77"/>
      <c r="AB43" s="77"/>
      <c r="AC43" s="82" t="s">
        <v>2722</v>
      </c>
      <c r="AD43" s="77" t="s">
        <v>2752</v>
      </c>
      <c r="AE43" s="80" t="str">
        <f>HYPERLINK("https://twitter.com/bitfreedomgus/status/1671577846328745986")</f>
        <v>https://twitter.com/bitfreedomgus/status/1671577846328745986</v>
      </c>
      <c r="AF43" s="79">
        <v>45098.747557870367</v>
      </c>
      <c r="AG43" s="85">
        <v>45098</v>
      </c>
      <c r="AH43" s="82" t="s">
        <v>2802</v>
      </c>
      <c r="AI43" s="77"/>
      <c r="AJ43" s="77"/>
      <c r="AK43" s="77"/>
      <c r="AL43" s="77"/>
      <c r="AM43" s="77"/>
      <c r="AN43" s="77"/>
      <c r="AO43" s="77"/>
      <c r="AP43" s="77"/>
      <c r="AQ43" s="77"/>
      <c r="AR43" s="77"/>
      <c r="AS43" s="77"/>
      <c r="AT43" s="77"/>
      <c r="AU43" s="77"/>
      <c r="AV43" s="80" t="str">
        <f>HYPERLINK("https://pbs.twimg.com/profile_images/1654129215749656576/AuddxuuG_normal.jpg")</f>
        <v>https://pbs.twimg.com/profile_images/1654129215749656576/AuddxuuG_normal.jpg</v>
      </c>
      <c r="AW43" s="82" t="s">
        <v>4377</v>
      </c>
      <c r="AX43" s="82" t="s">
        <v>4377</v>
      </c>
      <c r="AY43" s="82" t="s">
        <v>5579</v>
      </c>
      <c r="AZ43" s="82" t="s">
        <v>5615</v>
      </c>
      <c r="BA43" s="82" t="s">
        <v>5847</v>
      </c>
      <c r="BB43" s="82" t="s">
        <v>5615</v>
      </c>
      <c r="BC43" s="82" t="s">
        <v>5847</v>
      </c>
      <c r="BD43" s="82" t="s">
        <v>5876</v>
      </c>
      <c r="BE43" s="77"/>
      <c r="BF43" s="77"/>
      <c r="BG43" s="77"/>
      <c r="BH43" s="77"/>
      <c r="BI43" s="77"/>
    </row>
    <row r="44" spans="1:61" x14ac:dyDescent="0.25">
      <c r="A44" s="62" t="s">
        <v>257</v>
      </c>
      <c r="B44" s="62" t="s">
        <v>257</v>
      </c>
      <c r="C44" s="63"/>
      <c r="D44" s="64"/>
      <c r="E44" s="65"/>
      <c r="F44" s="66"/>
      <c r="G44" s="63"/>
      <c r="H44" s="67"/>
      <c r="I44" s="68"/>
      <c r="J44" s="68"/>
      <c r="K44" s="32"/>
      <c r="L44" s="75">
        <v>44</v>
      </c>
      <c r="M44" s="75"/>
      <c r="N44" s="70"/>
      <c r="O44" s="77" t="s">
        <v>179</v>
      </c>
      <c r="P44" s="79">
        <v>45009.966168981482</v>
      </c>
      <c r="Q44" s="77" t="s">
        <v>627</v>
      </c>
      <c r="R44" s="77">
        <v>0</v>
      </c>
      <c r="S44" s="77">
        <v>0</v>
      </c>
      <c r="T44" s="77">
        <v>0</v>
      </c>
      <c r="U44" s="77">
        <v>0</v>
      </c>
      <c r="V44" s="77">
        <v>15</v>
      </c>
      <c r="W44" s="82" t="s">
        <v>1576</v>
      </c>
      <c r="X44" s="77"/>
      <c r="Y44" s="77"/>
      <c r="Z44" s="77"/>
      <c r="AA44" s="77" t="s">
        <v>2209</v>
      </c>
      <c r="AB44" s="77" t="s">
        <v>2713</v>
      </c>
      <c r="AC44" s="82" t="s">
        <v>2720</v>
      </c>
      <c r="AD44" s="77" t="s">
        <v>2752</v>
      </c>
      <c r="AE44" s="80" t="str">
        <f>HYPERLINK("https://twitter.com/bossladymillion/status/1639404548820291584")</f>
        <v>https://twitter.com/bossladymillion/status/1639404548820291584</v>
      </c>
      <c r="AF44" s="79">
        <v>45009.966168981482</v>
      </c>
      <c r="AG44" s="85">
        <v>45009</v>
      </c>
      <c r="AH44" s="82" t="s">
        <v>2803</v>
      </c>
      <c r="AI44" s="77" t="b">
        <v>0</v>
      </c>
      <c r="AJ44" s="77"/>
      <c r="AK44" s="77"/>
      <c r="AL44" s="77"/>
      <c r="AM44" s="77"/>
      <c r="AN44" s="77"/>
      <c r="AO44" s="77"/>
      <c r="AP44" s="77"/>
      <c r="AQ44" s="77" t="s">
        <v>3835</v>
      </c>
      <c r="AR44" s="77">
        <v>12100</v>
      </c>
      <c r="AS44" s="77"/>
      <c r="AT44" s="77"/>
      <c r="AU44" s="77"/>
      <c r="AV44" s="80" t="str">
        <f>HYPERLINK("https://pbs.twimg.com/ext_tw_video_thumb/1639404504717066240/pu/img/mPrUjtIqiThfXZQv.jpg")</f>
        <v>https://pbs.twimg.com/ext_tw_video_thumb/1639404504717066240/pu/img/mPrUjtIqiThfXZQv.jpg</v>
      </c>
      <c r="AW44" s="82" t="s">
        <v>4378</v>
      </c>
      <c r="AX44" s="82" t="s">
        <v>4378</v>
      </c>
      <c r="AY44" s="77"/>
      <c r="AZ44" s="82" t="s">
        <v>5615</v>
      </c>
      <c r="BA44" s="82" t="s">
        <v>5615</v>
      </c>
      <c r="BB44" s="82" t="s">
        <v>5615</v>
      </c>
      <c r="BC44" s="82" t="s">
        <v>4378</v>
      </c>
      <c r="BD44" s="82" t="s">
        <v>5877</v>
      </c>
      <c r="BE44" s="77"/>
      <c r="BF44" s="77"/>
      <c r="BG44" s="77"/>
      <c r="BH44" s="77"/>
      <c r="BI44" s="77"/>
    </row>
    <row r="45" spans="1:61" x14ac:dyDescent="0.25">
      <c r="A45" s="62" t="s">
        <v>258</v>
      </c>
      <c r="B45" s="62" t="s">
        <v>258</v>
      </c>
      <c r="C45" s="63"/>
      <c r="D45" s="64"/>
      <c r="E45" s="65"/>
      <c r="F45" s="66"/>
      <c r="G45" s="63"/>
      <c r="H45" s="67"/>
      <c r="I45" s="68"/>
      <c r="J45" s="68"/>
      <c r="K45" s="32"/>
      <c r="L45" s="75">
        <v>45</v>
      </c>
      <c r="M45" s="75"/>
      <c r="N45" s="70"/>
      <c r="O45" s="77" t="s">
        <v>179</v>
      </c>
      <c r="P45" s="79">
        <v>45129.641423611109</v>
      </c>
      <c r="Q45" s="77" t="s">
        <v>628</v>
      </c>
      <c r="R45" s="77">
        <v>0</v>
      </c>
      <c r="S45" s="77">
        <v>1</v>
      </c>
      <c r="T45" s="77">
        <v>0</v>
      </c>
      <c r="U45" s="77">
        <v>0</v>
      </c>
      <c r="V45" s="77">
        <v>63</v>
      </c>
      <c r="W45" s="82" t="s">
        <v>1577</v>
      </c>
      <c r="X45" s="77"/>
      <c r="Y45" s="77"/>
      <c r="Z45" s="77"/>
      <c r="AA45" s="77" t="s">
        <v>2210</v>
      </c>
      <c r="AB45" s="77" t="s">
        <v>2713</v>
      </c>
      <c r="AC45" s="82" t="s">
        <v>2719</v>
      </c>
      <c r="AD45" s="77" t="s">
        <v>2753</v>
      </c>
      <c r="AE45" s="80" t="str">
        <f>HYPERLINK("https://twitter.com/sandroveiga_/status/1682773407287369736")</f>
        <v>https://twitter.com/sandroveiga_/status/1682773407287369736</v>
      </c>
      <c r="AF45" s="79">
        <v>45129.641423611109</v>
      </c>
      <c r="AG45" s="85">
        <v>45129</v>
      </c>
      <c r="AH45" s="82" t="s">
        <v>2804</v>
      </c>
      <c r="AI45" s="77" t="b">
        <v>0</v>
      </c>
      <c r="AJ45" s="77"/>
      <c r="AK45" s="77"/>
      <c r="AL45" s="77"/>
      <c r="AM45" s="77"/>
      <c r="AN45" s="77"/>
      <c r="AO45" s="77"/>
      <c r="AP45" s="77"/>
      <c r="AQ45" s="77" t="s">
        <v>3836</v>
      </c>
      <c r="AR45" s="77">
        <v>68822</v>
      </c>
      <c r="AS45" s="77"/>
      <c r="AT45" s="77"/>
      <c r="AU45" s="77"/>
      <c r="AV45" s="80" t="str">
        <f>HYPERLINK("https://pbs.twimg.com/ext_tw_video_thumb/1682773371174436864/pu/img/b7C6U_d-P02M93Um.jpg")</f>
        <v>https://pbs.twimg.com/ext_tw_video_thumb/1682773371174436864/pu/img/b7C6U_d-P02M93Um.jpg</v>
      </c>
      <c r="AW45" s="82" t="s">
        <v>4379</v>
      </c>
      <c r="AX45" s="82" t="s">
        <v>4379</v>
      </c>
      <c r="AY45" s="77"/>
      <c r="AZ45" s="82" t="s">
        <v>5615</v>
      </c>
      <c r="BA45" s="82" t="s">
        <v>5615</v>
      </c>
      <c r="BB45" s="82" t="s">
        <v>5615</v>
      </c>
      <c r="BC45" s="82" t="s">
        <v>4379</v>
      </c>
      <c r="BD45" s="77">
        <v>2868134025</v>
      </c>
      <c r="BE45" s="77"/>
      <c r="BF45" s="77"/>
      <c r="BG45" s="77"/>
      <c r="BH45" s="77"/>
      <c r="BI45" s="77"/>
    </row>
    <row r="46" spans="1:61" x14ac:dyDescent="0.25">
      <c r="A46" s="62" t="s">
        <v>259</v>
      </c>
      <c r="B46" s="62" t="s">
        <v>259</v>
      </c>
      <c r="C46" s="63"/>
      <c r="D46" s="64"/>
      <c r="E46" s="65"/>
      <c r="F46" s="66"/>
      <c r="G46" s="63"/>
      <c r="H46" s="67"/>
      <c r="I46" s="68"/>
      <c r="J46" s="68"/>
      <c r="K46" s="32"/>
      <c r="L46" s="75">
        <v>46</v>
      </c>
      <c r="M46" s="75"/>
      <c r="N46" s="70"/>
      <c r="O46" s="77" t="s">
        <v>179</v>
      </c>
      <c r="P46" s="79">
        <v>44946.875428240739</v>
      </c>
      <c r="Q46" s="77" t="s">
        <v>629</v>
      </c>
      <c r="R46" s="77">
        <v>0</v>
      </c>
      <c r="S46" s="77">
        <v>0</v>
      </c>
      <c r="T46" s="77">
        <v>0</v>
      </c>
      <c r="U46" s="77">
        <v>0</v>
      </c>
      <c r="V46" s="77">
        <v>20</v>
      </c>
      <c r="W46" s="82" t="s">
        <v>1554</v>
      </c>
      <c r="X46" s="80" t="str">
        <f>HYPERLINK("https://investimentoobjetivo.com.br/mentoria-investimentos/")</f>
        <v>https://investimentoobjetivo.com.br/mentoria-investimentos/</v>
      </c>
      <c r="Y46" s="77" t="s">
        <v>2129</v>
      </c>
      <c r="Z46" s="77"/>
      <c r="AA46" s="77" t="s">
        <v>2211</v>
      </c>
      <c r="AB46" s="77" t="s">
        <v>2713</v>
      </c>
      <c r="AC46" s="82" t="s">
        <v>2721</v>
      </c>
      <c r="AD46" s="77" t="s">
        <v>2752</v>
      </c>
      <c r="AE46" s="80" t="str">
        <f>HYPERLINK("https://twitter.com/egsinvestiment2/status/1616541229843447823")</f>
        <v>https://twitter.com/egsinvestiment2/status/1616541229843447823</v>
      </c>
      <c r="AF46" s="79">
        <v>44946.875428240739</v>
      </c>
      <c r="AG46" s="85">
        <v>44946</v>
      </c>
      <c r="AH46" s="82" t="s">
        <v>2780</v>
      </c>
      <c r="AI46" s="77" t="b">
        <v>0</v>
      </c>
      <c r="AJ46" s="77"/>
      <c r="AK46" s="77"/>
      <c r="AL46" s="77"/>
      <c r="AM46" s="77"/>
      <c r="AN46" s="77"/>
      <c r="AO46" s="77"/>
      <c r="AP46" s="77"/>
      <c r="AQ46" s="77" t="s">
        <v>3837</v>
      </c>
      <c r="AR46" s="77">
        <v>18700</v>
      </c>
      <c r="AS46" s="77"/>
      <c r="AT46" s="77"/>
      <c r="AU46" s="77"/>
      <c r="AV46" s="80" t="str">
        <f>HYPERLINK("https://pbs.twimg.com/ext_tw_video_thumb/1616541184339447808/pu/img/UKBwQSY51xe4AuwT.jpg")</f>
        <v>https://pbs.twimg.com/ext_tw_video_thumb/1616541184339447808/pu/img/UKBwQSY51xe4AuwT.jpg</v>
      </c>
      <c r="AW46" s="82" t="s">
        <v>4380</v>
      </c>
      <c r="AX46" s="82" t="s">
        <v>4380</v>
      </c>
      <c r="AY46" s="77"/>
      <c r="AZ46" s="82" t="s">
        <v>5615</v>
      </c>
      <c r="BA46" s="82" t="s">
        <v>5615</v>
      </c>
      <c r="BB46" s="82" t="s">
        <v>5615</v>
      </c>
      <c r="BC46" s="82" t="s">
        <v>4380</v>
      </c>
      <c r="BD46" s="82" t="s">
        <v>5878</v>
      </c>
      <c r="BE46" s="77"/>
      <c r="BF46" s="77"/>
      <c r="BG46" s="77"/>
      <c r="BH46" s="77"/>
      <c r="BI46" s="77"/>
    </row>
    <row r="47" spans="1:61" x14ac:dyDescent="0.25">
      <c r="A47" s="62" t="s">
        <v>260</v>
      </c>
      <c r="B47" s="62" t="s">
        <v>260</v>
      </c>
      <c r="C47" s="63"/>
      <c r="D47" s="64"/>
      <c r="E47" s="65"/>
      <c r="F47" s="66"/>
      <c r="G47" s="63"/>
      <c r="H47" s="67"/>
      <c r="I47" s="68"/>
      <c r="J47" s="68"/>
      <c r="K47" s="32"/>
      <c r="L47" s="75">
        <v>47</v>
      </c>
      <c r="M47" s="75"/>
      <c r="N47" s="70"/>
      <c r="O47" s="77" t="s">
        <v>179</v>
      </c>
      <c r="P47" s="79">
        <v>45006.77888888889</v>
      </c>
      <c r="Q47" s="77" t="s">
        <v>630</v>
      </c>
      <c r="R47" s="77">
        <v>0</v>
      </c>
      <c r="S47" s="77">
        <v>0</v>
      </c>
      <c r="T47" s="77">
        <v>0</v>
      </c>
      <c r="U47" s="77">
        <v>0</v>
      </c>
      <c r="V47" s="77">
        <v>858</v>
      </c>
      <c r="W47" s="82" t="s">
        <v>1578</v>
      </c>
      <c r="X47" s="80" t="str">
        <f>HYPERLINK("https://t.me/AgenciaConstelacao")</f>
        <v>https://t.me/AgenciaConstelacao</v>
      </c>
      <c r="Y47" s="77" t="s">
        <v>2134</v>
      </c>
      <c r="Z47" s="77"/>
      <c r="AA47" s="77" t="s">
        <v>2212</v>
      </c>
      <c r="AB47" s="77" t="s">
        <v>2714</v>
      </c>
      <c r="AC47" s="82" t="s">
        <v>2722</v>
      </c>
      <c r="AD47" s="77" t="s">
        <v>2752</v>
      </c>
      <c r="AE47" s="80" t="str">
        <f>HYPERLINK("https://twitter.com/agconstelacao/status/1638249517437841414")</f>
        <v>https://twitter.com/agconstelacao/status/1638249517437841414</v>
      </c>
      <c r="AF47" s="79">
        <v>45006.77888888889</v>
      </c>
      <c r="AG47" s="85">
        <v>45006</v>
      </c>
      <c r="AH47" s="82" t="s">
        <v>2805</v>
      </c>
      <c r="AI47" s="77" t="b">
        <v>0</v>
      </c>
      <c r="AJ47" s="77"/>
      <c r="AK47" s="77"/>
      <c r="AL47" s="77"/>
      <c r="AM47" s="77"/>
      <c r="AN47" s="77"/>
      <c r="AO47" s="77"/>
      <c r="AP47" s="77"/>
      <c r="AQ47" s="77" t="s">
        <v>3838</v>
      </c>
      <c r="AR47" s="77"/>
      <c r="AS47" s="77"/>
      <c r="AT47" s="77"/>
      <c r="AU47" s="77"/>
      <c r="AV47" s="80" t="str">
        <f>HYPERLINK("https://pbs.twimg.com/media/Frw7FOlWcAw4Yuo.jpg")</f>
        <v>https://pbs.twimg.com/media/Frw7FOlWcAw4Yuo.jpg</v>
      </c>
      <c r="AW47" s="82" t="s">
        <v>4381</v>
      </c>
      <c r="AX47" s="82" t="s">
        <v>4381</v>
      </c>
      <c r="AY47" s="77"/>
      <c r="AZ47" s="82" t="s">
        <v>5615</v>
      </c>
      <c r="BA47" s="82" t="s">
        <v>5615</v>
      </c>
      <c r="BB47" s="82" t="s">
        <v>5615</v>
      </c>
      <c r="BC47" s="82" t="s">
        <v>4381</v>
      </c>
      <c r="BD47" s="82" t="s">
        <v>5879</v>
      </c>
      <c r="BE47" s="77"/>
      <c r="BF47" s="77"/>
      <c r="BG47" s="77"/>
      <c r="BH47" s="77"/>
      <c r="BI47" s="77"/>
    </row>
    <row r="48" spans="1:61" x14ac:dyDescent="0.25">
      <c r="A48" s="62" t="s">
        <v>261</v>
      </c>
      <c r="B48" s="62" t="s">
        <v>261</v>
      </c>
      <c r="C48" s="63"/>
      <c r="D48" s="64"/>
      <c r="E48" s="65"/>
      <c r="F48" s="66"/>
      <c r="G48" s="63"/>
      <c r="H48" s="67"/>
      <c r="I48" s="68"/>
      <c r="J48" s="68"/>
      <c r="K48" s="32"/>
      <c r="L48" s="75">
        <v>48</v>
      </c>
      <c r="M48" s="75"/>
      <c r="N48" s="70"/>
      <c r="O48" s="77" t="s">
        <v>179</v>
      </c>
      <c r="P48" s="79">
        <v>44982.962337962963</v>
      </c>
      <c r="Q48" s="77" t="s">
        <v>631</v>
      </c>
      <c r="R48" s="77">
        <v>0</v>
      </c>
      <c r="S48" s="77">
        <v>0</v>
      </c>
      <c r="T48" s="77">
        <v>0</v>
      </c>
      <c r="U48" s="77">
        <v>0</v>
      </c>
      <c r="V48" s="77">
        <v>28</v>
      </c>
      <c r="W48" s="82" t="s">
        <v>1579</v>
      </c>
      <c r="X48" s="80" t="str">
        <f>HYPERLINK("https://www.williamhunt.com.br/masterclass-segredos-dos-investimentos-para-iniciantes")</f>
        <v>https://www.williamhunt.com.br/masterclass-segredos-dos-investimentos-para-iniciantes</v>
      </c>
      <c r="Y48" s="77" t="s">
        <v>2129</v>
      </c>
      <c r="Z48" s="77"/>
      <c r="AA48" s="77" t="s">
        <v>2213</v>
      </c>
      <c r="AB48" s="77" t="s">
        <v>2714</v>
      </c>
      <c r="AC48" s="82" t="s">
        <v>2722</v>
      </c>
      <c r="AD48" s="77" t="s">
        <v>2752</v>
      </c>
      <c r="AE48" s="80" t="str">
        <f>HYPERLINK("https://twitter.com/williamhuntbr/status/1629618687186444288")</f>
        <v>https://twitter.com/williamhuntbr/status/1629618687186444288</v>
      </c>
      <c r="AF48" s="79">
        <v>44982.962337962963</v>
      </c>
      <c r="AG48" s="85">
        <v>44982</v>
      </c>
      <c r="AH48" s="82" t="s">
        <v>2806</v>
      </c>
      <c r="AI48" s="77" t="b">
        <v>0</v>
      </c>
      <c r="AJ48" s="77"/>
      <c r="AK48" s="77"/>
      <c r="AL48" s="77"/>
      <c r="AM48" s="77"/>
      <c r="AN48" s="77"/>
      <c r="AO48" s="77"/>
      <c r="AP48" s="77"/>
      <c r="AQ48" s="77" t="s">
        <v>3839</v>
      </c>
      <c r="AR48" s="77"/>
      <c r="AS48" s="77"/>
      <c r="AT48" s="77"/>
      <c r="AU48" s="77"/>
      <c r="AV48" s="80" t="str">
        <f>HYPERLINK("https://pbs.twimg.com/media/Fp2RblMXoAAN2sA.jpg")</f>
        <v>https://pbs.twimg.com/media/Fp2RblMXoAAN2sA.jpg</v>
      </c>
      <c r="AW48" s="82" t="s">
        <v>4382</v>
      </c>
      <c r="AX48" s="82" t="s">
        <v>4382</v>
      </c>
      <c r="AY48" s="77"/>
      <c r="AZ48" s="82" t="s">
        <v>5615</v>
      </c>
      <c r="BA48" s="82" t="s">
        <v>5615</v>
      </c>
      <c r="BB48" s="82" t="s">
        <v>5615</v>
      </c>
      <c r="BC48" s="82" t="s">
        <v>4382</v>
      </c>
      <c r="BD48" s="82" t="s">
        <v>5880</v>
      </c>
      <c r="BE48" s="77"/>
      <c r="BF48" s="77"/>
      <c r="BG48" s="77"/>
      <c r="BH48" s="77"/>
      <c r="BI48" s="77"/>
    </row>
    <row r="49" spans="1:61" x14ac:dyDescent="0.25">
      <c r="A49" s="62" t="s">
        <v>261</v>
      </c>
      <c r="B49" s="62" t="s">
        <v>261</v>
      </c>
      <c r="C49" s="63"/>
      <c r="D49" s="64"/>
      <c r="E49" s="65"/>
      <c r="F49" s="66"/>
      <c r="G49" s="63"/>
      <c r="H49" s="67"/>
      <c r="I49" s="68"/>
      <c r="J49" s="68"/>
      <c r="K49" s="32"/>
      <c r="L49" s="75">
        <v>49</v>
      </c>
      <c r="M49" s="75"/>
      <c r="N49" s="70"/>
      <c r="O49" s="77" t="s">
        <v>179</v>
      </c>
      <c r="P49" s="79">
        <v>44979.595462962963</v>
      </c>
      <c r="Q49" s="77" t="s">
        <v>632</v>
      </c>
      <c r="R49" s="77">
        <v>0</v>
      </c>
      <c r="S49" s="77">
        <v>0</v>
      </c>
      <c r="T49" s="77">
        <v>0</v>
      </c>
      <c r="U49" s="77">
        <v>0</v>
      </c>
      <c r="V49" s="77">
        <v>42</v>
      </c>
      <c r="W49" s="82" t="s">
        <v>1580</v>
      </c>
      <c r="X49" s="77"/>
      <c r="Y49" s="77"/>
      <c r="Z49" s="77"/>
      <c r="AA49" s="77" t="s">
        <v>2214</v>
      </c>
      <c r="AB49" s="77" t="s">
        <v>2714</v>
      </c>
      <c r="AC49" s="82" t="s">
        <v>2722</v>
      </c>
      <c r="AD49" s="77" t="s">
        <v>2752</v>
      </c>
      <c r="AE49" s="80" t="str">
        <f>HYPERLINK("https://twitter.com/williamhuntbr/status/1628398571497177089")</f>
        <v>https://twitter.com/williamhuntbr/status/1628398571497177089</v>
      </c>
      <c r="AF49" s="79">
        <v>44979.595462962963</v>
      </c>
      <c r="AG49" s="85">
        <v>44979</v>
      </c>
      <c r="AH49" s="82" t="s">
        <v>2807</v>
      </c>
      <c r="AI49" s="77" t="b">
        <v>0</v>
      </c>
      <c r="AJ49" s="77"/>
      <c r="AK49" s="77"/>
      <c r="AL49" s="77"/>
      <c r="AM49" s="77"/>
      <c r="AN49" s="77"/>
      <c r="AO49" s="77"/>
      <c r="AP49" s="77"/>
      <c r="AQ49" s="77" t="s">
        <v>3840</v>
      </c>
      <c r="AR49" s="77"/>
      <c r="AS49" s="77"/>
      <c r="AT49" s="77"/>
      <c r="AU49" s="77"/>
      <c r="AV49" s="80" t="str">
        <f>HYPERLINK("https://pbs.twimg.com/media/Fpk7zVaXsAEgy74.jpg")</f>
        <v>https://pbs.twimg.com/media/Fpk7zVaXsAEgy74.jpg</v>
      </c>
      <c r="AW49" s="82" t="s">
        <v>4383</v>
      </c>
      <c r="AX49" s="82" t="s">
        <v>4383</v>
      </c>
      <c r="AY49" s="77"/>
      <c r="AZ49" s="82" t="s">
        <v>5615</v>
      </c>
      <c r="BA49" s="82" t="s">
        <v>5615</v>
      </c>
      <c r="BB49" s="82" t="s">
        <v>5615</v>
      </c>
      <c r="BC49" s="82" t="s">
        <v>4383</v>
      </c>
      <c r="BD49" s="82" t="s">
        <v>5880</v>
      </c>
      <c r="BE49" s="77"/>
      <c r="BF49" s="77"/>
      <c r="BG49" s="77"/>
      <c r="BH49" s="77"/>
      <c r="BI49" s="77"/>
    </row>
    <row r="50" spans="1:61" x14ac:dyDescent="0.25">
      <c r="A50" s="62" t="s">
        <v>261</v>
      </c>
      <c r="B50" s="62" t="s">
        <v>261</v>
      </c>
      <c r="C50" s="63"/>
      <c r="D50" s="64"/>
      <c r="E50" s="65"/>
      <c r="F50" s="66"/>
      <c r="G50" s="63"/>
      <c r="H50" s="67"/>
      <c r="I50" s="68"/>
      <c r="J50" s="68"/>
      <c r="K50" s="32"/>
      <c r="L50" s="75">
        <v>50</v>
      </c>
      <c r="M50" s="75"/>
      <c r="N50" s="70"/>
      <c r="O50" s="77" t="s">
        <v>179</v>
      </c>
      <c r="P50" s="79">
        <v>44998.725775462961</v>
      </c>
      <c r="Q50" s="77" t="s">
        <v>633</v>
      </c>
      <c r="R50" s="77">
        <v>0</v>
      </c>
      <c r="S50" s="77">
        <v>0</v>
      </c>
      <c r="T50" s="77">
        <v>0</v>
      </c>
      <c r="U50" s="77">
        <v>0</v>
      </c>
      <c r="V50" s="77">
        <v>80</v>
      </c>
      <c r="W50" s="82" t="s">
        <v>1581</v>
      </c>
      <c r="X50" s="77"/>
      <c r="Y50" s="77"/>
      <c r="Z50" s="77"/>
      <c r="AA50" s="77" t="s">
        <v>2215</v>
      </c>
      <c r="AB50" s="77" t="s">
        <v>2718</v>
      </c>
      <c r="AC50" s="82" t="s">
        <v>2722</v>
      </c>
      <c r="AD50" s="77" t="s">
        <v>2752</v>
      </c>
      <c r="AE50" s="80" t="str">
        <f>HYPERLINK("https://twitter.com/williamhuntbr/status/1635331166869016576")</f>
        <v>https://twitter.com/williamhuntbr/status/1635331166869016576</v>
      </c>
      <c r="AF50" s="79">
        <v>44998.725775462961</v>
      </c>
      <c r="AG50" s="85">
        <v>44998</v>
      </c>
      <c r="AH50" s="82" t="s">
        <v>2808</v>
      </c>
      <c r="AI50" s="77" t="b">
        <v>0</v>
      </c>
      <c r="AJ50" s="77"/>
      <c r="AK50" s="77"/>
      <c r="AL50" s="77"/>
      <c r="AM50" s="77"/>
      <c r="AN50" s="77"/>
      <c r="AO50" s="77"/>
      <c r="AP50" s="77"/>
      <c r="AQ50" s="77" t="s">
        <v>3841</v>
      </c>
      <c r="AR50" s="77"/>
      <c r="AS50" s="77"/>
      <c r="AT50" s="77"/>
      <c r="AU50" s="77"/>
      <c r="AV50" s="80" t="str">
        <f>HYPERLINK("https://pbs.twimg.com/media/FrHc8kqXoCM1lnH.jpg")</f>
        <v>https://pbs.twimg.com/media/FrHc8kqXoCM1lnH.jpg</v>
      </c>
      <c r="AW50" s="82" t="s">
        <v>4384</v>
      </c>
      <c r="AX50" s="82" t="s">
        <v>4384</v>
      </c>
      <c r="AY50" s="77"/>
      <c r="AZ50" s="82" t="s">
        <v>5615</v>
      </c>
      <c r="BA50" s="82" t="s">
        <v>5615</v>
      </c>
      <c r="BB50" s="82" t="s">
        <v>5615</v>
      </c>
      <c r="BC50" s="82" t="s">
        <v>4384</v>
      </c>
      <c r="BD50" s="82" t="s">
        <v>5880</v>
      </c>
      <c r="BE50" s="77"/>
      <c r="BF50" s="77"/>
      <c r="BG50" s="77"/>
      <c r="BH50" s="77"/>
      <c r="BI50" s="77"/>
    </row>
    <row r="51" spans="1:61" x14ac:dyDescent="0.25">
      <c r="A51" s="62" t="s">
        <v>261</v>
      </c>
      <c r="B51" s="62" t="s">
        <v>261</v>
      </c>
      <c r="C51" s="63"/>
      <c r="D51" s="64"/>
      <c r="E51" s="65"/>
      <c r="F51" s="66"/>
      <c r="G51" s="63"/>
      <c r="H51" s="67"/>
      <c r="I51" s="68"/>
      <c r="J51" s="68"/>
      <c r="K51" s="32"/>
      <c r="L51" s="75">
        <v>51</v>
      </c>
      <c r="M51" s="75"/>
      <c r="N51" s="70"/>
      <c r="O51" s="77" t="s">
        <v>179</v>
      </c>
      <c r="P51" s="79">
        <v>44988.768726851849</v>
      </c>
      <c r="Q51" s="77" t="s">
        <v>634</v>
      </c>
      <c r="R51" s="77">
        <v>0</v>
      </c>
      <c r="S51" s="77">
        <v>0</v>
      </c>
      <c r="T51" s="77">
        <v>0</v>
      </c>
      <c r="U51" s="77">
        <v>0</v>
      </c>
      <c r="V51" s="77">
        <v>10</v>
      </c>
      <c r="W51" s="82" t="s">
        <v>1582</v>
      </c>
      <c r="X51" s="80" t="str">
        <f>HYPERLINK("https://www.williamhunt.com.br/masterclass-segredos-dos-investimentos-para-iniciantes")</f>
        <v>https://www.williamhunt.com.br/masterclass-segredos-dos-investimentos-para-iniciantes</v>
      </c>
      <c r="Y51" s="77" t="s">
        <v>2129</v>
      </c>
      <c r="Z51" s="77"/>
      <c r="AA51" s="77" t="s">
        <v>2216</v>
      </c>
      <c r="AB51" s="77" t="s">
        <v>2714</v>
      </c>
      <c r="AC51" s="82" t="s">
        <v>2722</v>
      </c>
      <c r="AD51" s="77" t="s">
        <v>2752</v>
      </c>
      <c r="AE51" s="80" t="str">
        <f>HYPERLINK("https://twitter.com/williamhuntbr/status/1631722851559694337")</f>
        <v>https://twitter.com/williamhuntbr/status/1631722851559694337</v>
      </c>
      <c r="AF51" s="79">
        <v>44988.768726851849</v>
      </c>
      <c r="AG51" s="85">
        <v>44988</v>
      </c>
      <c r="AH51" s="82" t="s">
        <v>2809</v>
      </c>
      <c r="AI51" s="77" t="b">
        <v>0</v>
      </c>
      <c r="AJ51" s="77"/>
      <c r="AK51" s="77"/>
      <c r="AL51" s="77"/>
      <c r="AM51" s="77"/>
      <c r="AN51" s="77"/>
      <c r="AO51" s="77"/>
      <c r="AP51" s="77"/>
      <c r="AQ51" s="77" t="s">
        <v>3842</v>
      </c>
      <c r="AR51" s="77"/>
      <c r="AS51" s="77"/>
      <c r="AT51" s="77"/>
      <c r="AU51" s="77"/>
      <c r="AV51" s="80" t="str">
        <f>HYPERLINK("https://pbs.twimg.com/media/FqULOwwXoBkEdD5.jpg")</f>
        <v>https://pbs.twimg.com/media/FqULOwwXoBkEdD5.jpg</v>
      </c>
      <c r="AW51" s="82" t="s">
        <v>4385</v>
      </c>
      <c r="AX51" s="82" t="s">
        <v>4385</v>
      </c>
      <c r="AY51" s="77"/>
      <c r="AZ51" s="82" t="s">
        <v>5615</v>
      </c>
      <c r="BA51" s="82" t="s">
        <v>5615</v>
      </c>
      <c r="BB51" s="82" t="s">
        <v>5615</v>
      </c>
      <c r="BC51" s="82" t="s">
        <v>4385</v>
      </c>
      <c r="BD51" s="82" t="s">
        <v>5880</v>
      </c>
      <c r="BE51" s="77"/>
      <c r="BF51" s="77"/>
      <c r="BG51" s="77"/>
      <c r="BH51" s="77"/>
      <c r="BI51" s="77"/>
    </row>
    <row r="52" spans="1:61" x14ac:dyDescent="0.25">
      <c r="A52" s="62" t="s">
        <v>261</v>
      </c>
      <c r="B52" s="62" t="s">
        <v>261</v>
      </c>
      <c r="C52" s="63"/>
      <c r="D52" s="64"/>
      <c r="E52" s="65"/>
      <c r="F52" s="66"/>
      <c r="G52" s="63"/>
      <c r="H52" s="67"/>
      <c r="I52" s="68"/>
      <c r="J52" s="68"/>
      <c r="K52" s="32"/>
      <c r="L52" s="75">
        <v>52</v>
      </c>
      <c r="M52" s="75"/>
      <c r="N52" s="70"/>
      <c r="O52" s="77" t="s">
        <v>179</v>
      </c>
      <c r="P52" s="79">
        <v>44986.646226851852</v>
      </c>
      <c r="Q52" s="77" t="s">
        <v>635</v>
      </c>
      <c r="R52" s="77">
        <v>0</v>
      </c>
      <c r="S52" s="77">
        <v>0</v>
      </c>
      <c r="T52" s="77">
        <v>0</v>
      </c>
      <c r="U52" s="77">
        <v>0</v>
      </c>
      <c r="V52" s="77">
        <v>11</v>
      </c>
      <c r="W52" s="82" t="s">
        <v>1583</v>
      </c>
      <c r="X52" s="80" t="str">
        <f>HYPERLINK("https://williamhunt.com.br/masterclass-segredos-dos-investimentos-para-iniciantes")</f>
        <v>https://williamhunt.com.br/masterclass-segredos-dos-investimentos-para-iniciantes</v>
      </c>
      <c r="Y52" s="77" t="s">
        <v>2129</v>
      </c>
      <c r="Z52" s="77"/>
      <c r="AA52" s="77" t="s">
        <v>2217</v>
      </c>
      <c r="AB52" s="77" t="s">
        <v>2714</v>
      </c>
      <c r="AC52" s="82" t="s">
        <v>2722</v>
      </c>
      <c r="AD52" s="77" t="s">
        <v>2752</v>
      </c>
      <c r="AE52" s="80" t="str">
        <f>HYPERLINK("https://twitter.com/williamhuntbr/status/1630953682303893512")</f>
        <v>https://twitter.com/williamhuntbr/status/1630953682303893512</v>
      </c>
      <c r="AF52" s="79">
        <v>44986.646226851852</v>
      </c>
      <c r="AG52" s="85">
        <v>44986</v>
      </c>
      <c r="AH52" s="82" t="s">
        <v>2810</v>
      </c>
      <c r="AI52" s="77" t="b">
        <v>0</v>
      </c>
      <c r="AJ52" s="77"/>
      <c r="AK52" s="77"/>
      <c r="AL52" s="77"/>
      <c r="AM52" s="77"/>
      <c r="AN52" s="77"/>
      <c r="AO52" s="77"/>
      <c r="AP52" s="77"/>
      <c r="AQ52" s="77" t="s">
        <v>3843</v>
      </c>
      <c r="AR52" s="77"/>
      <c r="AS52" s="77"/>
      <c r="AT52" s="77"/>
      <c r="AU52" s="77"/>
      <c r="AV52" s="80" t="str">
        <f>HYPERLINK("https://pbs.twimg.com/media/FqJPjzAWwAI_J8y.jpg")</f>
        <v>https://pbs.twimg.com/media/FqJPjzAWwAI_J8y.jpg</v>
      </c>
      <c r="AW52" s="82" t="s">
        <v>4386</v>
      </c>
      <c r="AX52" s="82" t="s">
        <v>4386</v>
      </c>
      <c r="AY52" s="77"/>
      <c r="AZ52" s="82" t="s">
        <v>5615</v>
      </c>
      <c r="BA52" s="82" t="s">
        <v>5615</v>
      </c>
      <c r="BB52" s="82" t="s">
        <v>5615</v>
      </c>
      <c r="BC52" s="82" t="s">
        <v>4386</v>
      </c>
      <c r="BD52" s="82" t="s">
        <v>5880</v>
      </c>
      <c r="BE52" s="77"/>
      <c r="BF52" s="77"/>
      <c r="BG52" s="77"/>
      <c r="BH52" s="77"/>
      <c r="BI52" s="77"/>
    </row>
    <row r="53" spans="1:61" x14ac:dyDescent="0.25">
      <c r="A53" s="62" t="s">
        <v>261</v>
      </c>
      <c r="B53" s="62" t="s">
        <v>261</v>
      </c>
      <c r="C53" s="63"/>
      <c r="D53" s="64"/>
      <c r="E53" s="65"/>
      <c r="F53" s="66"/>
      <c r="G53" s="63"/>
      <c r="H53" s="67"/>
      <c r="I53" s="68"/>
      <c r="J53" s="68"/>
      <c r="K53" s="32"/>
      <c r="L53" s="75">
        <v>53</v>
      </c>
      <c r="M53" s="75"/>
      <c r="N53" s="70"/>
      <c r="O53" s="77" t="s">
        <v>179</v>
      </c>
      <c r="P53" s="79">
        <v>44939.538900462961</v>
      </c>
      <c r="Q53" s="77" t="s">
        <v>636</v>
      </c>
      <c r="R53" s="77">
        <v>0</v>
      </c>
      <c r="S53" s="77">
        <v>0</v>
      </c>
      <c r="T53" s="77">
        <v>0</v>
      </c>
      <c r="U53" s="77">
        <v>0</v>
      </c>
      <c r="V53" s="77">
        <v>23</v>
      </c>
      <c r="W53" s="82" t="s">
        <v>1584</v>
      </c>
      <c r="X53" s="80" t="str">
        <f>HYPERLINK("http://williamhunt.com.br/segredos-dos-investimentos-para-iniciantes")</f>
        <v>http://williamhunt.com.br/segredos-dos-investimentos-para-iniciantes</v>
      </c>
      <c r="Y53" s="77" t="s">
        <v>2129</v>
      </c>
      <c r="Z53" s="77"/>
      <c r="AA53" s="77" t="s">
        <v>2218</v>
      </c>
      <c r="AB53" s="77" t="s">
        <v>2714</v>
      </c>
      <c r="AC53" s="82" t="s">
        <v>2722</v>
      </c>
      <c r="AD53" s="77" t="s">
        <v>2752</v>
      </c>
      <c r="AE53" s="80" t="str">
        <f>HYPERLINK("https://twitter.com/williamhuntbr/status/1613882561767301121")</f>
        <v>https://twitter.com/williamhuntbr/status/1613882561767301121</v>
      </c>
      <c r="AF53" s="79">
        <v>44939.538900462961</v>
      </c>
      <c r="AG53" s="85">
        <v>44939</v>
      </c>
      <c r="AH53" s="82" t="s">
        <v>2811</v>
      </c>
      <c r="AI53" s="77" t="b">
        <v>0</v>
      </c>
      <c r="AJ53" s="77"/>
      <c r="AK53" s="77"/>
      <c r="AL53" s="77"/>
      <c r="AM53" s="77"/>
      <c r="AN53" s="77"/>
      <c r="AO53" s="77"/>
      <c r="AP53" s="77"/>
      <c r="AQ53" s="77" t="s">
        <v>3844</v>
      </c>
      <c r="AR53" s="77"/>
      <c r="AS53" s="77"/>
      <c r="AT53" s="77"/>
      <c r="AU53" s="77"/>
      <c r="AV53" s="80" t="str">
        <f>HYPERLINK("https://pbs.twimg.com/media/FmWpmBHXEAEnBAj.jpg")</f>
        <v>https://pbs.twimg.com/media/FmWpmBHXEAEnBAj.jpg</v>
      </c>
      <c r="AW53" s="82" t="s">
        <v>4387</v>
      </c>
      <c r="AX53" s="82" t="s">
        <v>4387</v>
      </c>
      <c r="AY53" s="77"/>
      <c r="AZ53" s="82" t="s">
        <v>5615</v>
      </c>
      <c r="BA53" s="82" t="s">
        <v>5615</v>
      </c>
      <c r="BB53" s="82" t="s">
        <v>5615</v>
      </c>
      <c r="BC53" s="82" t="s">
        <v>4387</v>
      </c>
      <c r="BD53" s="82" t="s">
        <v>5880</v>
      </c>
      <c r="BE53" s="77"/>
      <c r="BF53" s="77"/>
      <c r="BG53" s="77"/>
      <c r="BH53" s="77"/>
      <c r="BI53" s="77"/>
    </row>
    <row r="54" spans="1:61" x14ac:dyDescent="0.25">
      <c r="A54" s="62" t="s">
        <v>261</v>
      </c>
      <c r="B54" s="62" t="s">
        <v>261</v>
      </c>
      <c r="C54" s="63"/>
      <c r="D54" s="64"/>
      <c r="E54" s="65"/>
      <c r="F54" s="66"/>
      <c r="G54" s="63"/>
      <c r="H54" s="67"/>
      <c r="I54" s="68"/>
      <c r="J54" s="68"/>
      <c r="K54" s="32"/>
      <c r="L54" s="75">
        <v>54</v>
      </c>
      <c r="M54" s="75"/>
      <c r="N54" s="70"/>
      <c r="O54" s="77" t="s">
        <v>179</v>
      </c>
      <c r="P54" s="79">
        <v>45033.604166666664</v>
      </c>
      <c r="Q54" s="77" t="s">
        <v>637</v>
      </c>
      <c r="R54" s="77">
        <v>0</v>
      </c>
      <c r="S54" s="77">
        <v>0</v>
      </c>
      <c r="T54" s="77">
        <v>0</v>
      </c>
      <c r="U54" s="77">
        <v>0</v>
      </c>
      <c r="V54" s="77">
        <v>34</v>
      </c>
      <c r="W54" s="82" t="s">
        <v>1585</v>
      </c>
      <c r="X54" s="80" t="str">
        <f>HYPERLINK("http://www.williamhunt.com.br/segredos-dos-investimentos-para-iniciantes")</f>
        <v>http://www.williamhunt.com.br/segredos-dos-investimentos-para-iniciantes</v>
      </c>
      <c r="Y54" s="77" t="s">
        <v>2129</v>
      </c>
      <c r="Z54" s="77"/>
      <c r="AA54" s="77" t="s">
        <v>2219</v>
      </c>
      <c r="AB54" s="77" t="s">
        <v>2716</v>
      </c>
      <c r="AC54" s="82" t="s">
        <v>2722</v>
      </c>
      <c r="AD54" s="77" t="s">
        <v>2752</v>
      </c>
      <c r="AE54" s="80" t="str">
        <f>HYPERLINK("https://twitter.com/williamhuntbr/status/1647970671731912704")</f>
        <v>https://twitter.com/williamhuntbr/status/1647970671731912704</v>
      </c>
      <c r="AF54" s="79">
        <v>45033.604166666664</v>
      </c>
      <c r="AG54" s="85">
        <v>45033</v>
      </c>
      <c r="AH54" s="82" t="s">
        <v>2812</v>
      </c>
      <c r="AI54" s="77" t="b">
        <v>0</v>
      </c>
      <c r="AJ54" s="77"/>
      <c r="AK54" s="77"/>
      <c r="AL54" s="77"/>
      <c r="AM54" s="77"/>
      <c r="AN54" s="77"/>
      <c r="AO54" s="77"/>
      <c r="AP54" s="77"/>
      <c r="AQ54" s="77" t="s">
        <v>3845</v>
      </c>
      <c r="AR54" s="77"/>
      <c r="AS54" s="77"/>
      <c r="AT54" s="77"/>
      <c r="AU54" s="77"/>
      <c r="AV54" s="80" t="str">
        <f>HYPERLINK("https://pbs.twimg.com/media/FtdONjLWIAApxwj.jpg")</f>
        <v>https://pbs.twimg.com/media/FtdONjLWIAApxwj.jpg</v>
      </c>
      <c r="AW54" s="82" t="s">
        <v>4388</v>
      </c>
      <c r="AX54" s="82" t="s">
        <v>4388</v>
      </c>
      <c r="AY54" s="77"/>
      <c r="AZ54" s="82" t="s">
        <v>5615</v>
      </c>
      <c r="BA54" s="82" t="s">
        <v>5615</v>
      </c>
      <c r="BB54" s="82" t="s">
        <v>5615</v>
      </c>
      <c r="BC54" s="82" t="s">
        <v>4388</v>
      </c>
      <c r="BD54" s="82" t="s">
        <v>5880</v>
      </c>
      <c r="BE54" s="77"/>
      <c r="BF54" s="77"/>
      <c r="BG54" s="77"/>
      <c r="BH54" s="77"/>
      <c r="BI54" s="77"/>
    </row>
    <row r="55" spans="1:61" x14ac:dyDescent="0.25">
      <c r="A55" s="62" t="s">
        <v>261</v>
      </c>
      <c r="B55" s="62" t="s">
        <v>261</v>
      </c>
      <c r="C55" s="63"/>
      <c r="D55" s="64"/>
      <c r="E55" s="65"/>
      <c r="F55" s="66"/>
      <c r="G55" s="63"/>
      <c r="H55" s="67"/>
      <c r="I55" s="68"/>
      <c r="J55" s="68"/>
      <c r="K55" s="32"/>
      <c r="L55" s="75">
        <v>55</v>
      </c>
      <c r="M55" s="75"/>
      <c r="N55" s="70"/>
      <c r="O55" s="77" t="s">
        <v>179</v>
      </c>
      <c r="P55" s="79">
        <v>45016.607025462959</v>
      </c>
      <c r="Q55" s="77" t="s">
        <v>638</v>
      </c>
      <c r="R55" s="77">
        <v>0</v>
      </c>
      <c r="S55" s="77">
        <v>0</v>
      </c>
      <c r="T55" s="77">
        <v>0</v>
      </c>
      <c r="U55" s="77">
        <v>0</v>
      </c>
      <c r="V55" s="77">
        <v>19</v>
      </c>
      <c r="W55" s="82" t="s">
        <v>1586</v>
      </c>
      <c r="X55" s="80" t="str">
        <f>HYPERLINK("http://williamhunt.com.br/segredos-dos-investimentos-para-iniciantes")</f>
        <v>http://williamhunt.com.br/segredos-dos-investimentos-para-iniciantes</v>
      </c>
      <c r="Y55" s="77" t="s">
        <v>2129</v>
      </c>
      <c r="Z55" s="77"/>
      <c r="AA55" s="77" t="s">
        <v>2220</v>
      </c>
      <c r="AB55" s="77" t="s">
        <v>2714</v>
      </c>
      <c r="AC55" s="82" t="s">
        <v>2722</v>
      </c>
      <c r="AD55" s="77" t="s">
        <v>2752</v>
      </c>
      <c r="AE55" s="80" t="str">
        <f>HYPERLINK("https://twitter.com/williamhuntbr/status/1641811112998871043")</f>
        <v>https://twitter.com/williamhuntbr/status/1641811112998871043</v>
      </c>
      <c r="AF55" s="79">
        <v>45016.607025462959</v>
      </c>
      <c r="AG55" s="85">
        <v>45016</v>
      </c>
      <c r="AH55" s="82" t="s">
        <v>2813</v>
      </c>
      <c r="AI55" s="77" t="b">
        <v>0</v>
      </c>
      <c r="AJ55" s="77"/>
      <c r="AK55" s="77"/>
      <c r="AL55" s="77"/>
      <c r="AM55" s="77"/>
      <c r="AN55" s="77"/>
      <c r="AO55" s="77"/>
      <c r="AP55" s="77"/>
      <c r="AQ55" s="77" t="s">
        <v>3846</v>
      </c>
      <c r="AR55" s="77"/>
      <c r="AS55" s="77"/>
      <c r="AT55" s="77"/>
      <c r="AU55" s="77"/>
      <c r="AV55" s="80" t="str">
        <f>HYPERLINK("https://pbs.twimg.com/media/Fsjibi2XgAEBNsu.jpg")</f>
        <v>https://pbs.twimg.com/media/Fsjibi2XgAEBNsu.jpg</v>
      </c>
      <c r="AW55" s="82" t="s">
        <v>4389</v>
      </c>
      <c r="AX55" s="82" t="s">
        <v>4389</v>
      </c>
      <c r="AY55" s="77"/>
      <c r="AZ55" s="82" t="s">
        <v>5615</v>
      </c>
      <c r="BA55" s="82" t="s">
        <v>5615</v>
      </c>
      <c r="BB55" s="82" t="s">
        <v>5615</v>
      </c>
      <c r="BC55" s="82" t="s">
        <v>4389</v>
      </c>
      <c r="BD55" s="82" t="s">
        <v>5880</v>
      </c>
      <c r="BE55" s="77"/>
      <c r="BF55" s="77"/>
      <c r="BG55" s="77"/>
      <c r="BH55" s="77"/>
      <c r="BI55" s="77"/>
    </row>
    <row r="56" spans="1:61" x14ac:dyDescent="0.25">
      <c r="A56" s="62" t="s">
        <v>261</v>
      </c>
      <c r="B56" s="62" t="s">
        <v>261</v>
      </c>
      <c r="C56" s="63"/>
      <c r="D56" s="64"/>
      <c r="E56" s="65"/>
      <c r="F56" s="66"/>
      <c r="G56" s="63"/>
      <c r="H56" s="67"/>
      <c r="I56" s="68"/>
      <c r="J56" s="68"/>
      <c r="K56" s="32"/>
      <c r="L56" s="75">
        <v>56</v>
      </c>
      <c r="M56" s="75"/>
      <c r="N56" s="70"/>
      <c r="O56" s="77" t="s">
        <v>179</v>
      </c>
      <c r="P56" s="79">
        <v>44930.495405092595</v>
      </c>
      <c r="Q56" s="77" t="s">
        <v>639</v>
      </c>
      <c r="R56" s="77">
        <v>0</v>
      </c>
      <c r="S56" s="77">
        <v>0</v>
      </c>
      <c r="T56" s="77">
        <v>0</v>
      </c>
      <c r="U56" s="77">
        <v>0</v>
      </c>
      <c r="V56" s="77">
        <v>20</v>
      </c>
      <c r="W56" s="82" t="s">
        <v>1587</v>
      </c>
      <c r="X56" s="80" t="str">
        <f>HYPERLINK("http://williamhunt.com.br/segredos-dos-investimentos-para-iniciantes")</f>
        <v>http://williamhunt.com.br/segredos-dos-investimentos-para-iniciantes</v>
      </c>
      <c r="Y56" s="77" t="s">
        <v>2129</v>
      </c>
      <c r="Z56" s="77"/>
      <c r="AA56" s="77" t="s">
        <v>2221</v>
      </c>
      <c r="AB56" s="77" t="s">
        <v>2714</v>
      </c>
      <c r="AC56" s="82" t="s">
        <v>2722</v>
      </c>
      <c r="AD56" s="77" t="s">
        <v>2752</v>
      </c>
      <c r="AE56" s="80" t="str">
        <f>HYPERLINK("https://twitter.com/williamhuntbr/status/1610605306941145089")</f>
        <v>https://twitter.com/williamhuntbr/status/1610605306941145089</v>
      </c>
      <c r="AF56" s="79">
        <v>44930.495405092595</v>
      </c>
      <c r="AG56" s="85">
        <v>44930</v>
      </c>
      <c r="AH56" s="82" t="s">
        <v>2814</v>
      </c>
      <c r="AI56" s="77" t="b">
        <v>0</v>
      </c>
      <c r="AJ56" s="77"/>
      <c r="AK56" s="77"/>
      <c r="AL56" s="77"/>
      <c r="AM56" s="77"/>
      <c r="AN56" s="77"/>
      <c r="AO56" s="77"/>
      <c r="AP56" s="77"/>
      <c r="AQ56" s="77" t="s">
        <v>3847</v>
      </c>
      <c r="AR56" s="77"/>
      <c r="AS56" s="77"/>
      <c r="AT56" s="77"/>
      <c r="AU56" s="77"/>
      <c r="AV56" s="80" t="str">
        <f>HYPERLINK("https://pbs.twimg.com/media/FloE550WQAANapm.jpg")</f>
        <v>https://pbs.twimg.com/media/FloE550WQAANapm.jpg</v>
      </c>
      <c r="AW56" s="82" t="s">
        <v>4390</v>
      </c>
      <c r="AX56" s="82" t="s">
        <v>4390</v>
      </c>
      <c r="AY56" s="77"/>
      <c r="AZ56" s="82" t="s">
        <v>5615</v>
      </c>
      <c r="BA56" s="82" t="s">
        <v>5615</v>
      </c>
      <c r="BB56" s="82" t="s">
        <v>5615</v>
      </c>
      <c r="BC56" s="82" t="s">
        <v>4390</v>
      </c>
      <c r="BD56" s="82" t="s">
        <v>5880</v>
      </c>
      <c r="BE56" s="77"/>
      <c r="BF56" s="77"/>
      <c r="BG56" s="77"/>
      <c r="BH56" s="77"/>
      <c r="BI56" s="77"/>
    </row>
    <row r="57" spans="1:61" x14ac:dyDescent="0.25">
      <c r="A57" s="62" t="s">
        <v>261</v>
      </c>
      <c r="B57" s="62" t="s">
        <v>261</v>
      </c>
      <c r="C57" s="63"/>
      <c r="D57" s="64"/>
      <c r="E57" s="65"/>
      <c r="F57" s="66"/>
      <c r="G57" s="63"/>
      <c r="H57" s="67"/>
      <c r="I57" s="68"/>
      <c r="J57" s="68"/>
      <c r="K57" s="32"/>
      <c r="L57" s="75">
        <v>57</v>
      </c>
      <c r="M57" s="75"/>
      <c r="N57" s="70"/>
      <c r="O57" s="77" t="s">
        <v>179</v>
      </c>
      <c r="P57" s="79">
        <v>45056.537418981483</v>
      </c>
      <c r="Q57" s="77" t="s">
        <v>640</v>
      </c>
      <c r="R57" s="77">
        <v>0</v>
      </c>
      <c r="S57" s="77">
        <v>0</v>
      </c>
      <c r="T57" s="77">
        <v>0</v>
      </c>
      <c r="U57" s="77">
        <v>0</v>
      </c>
      <c r="V57" s="77">
        <v>32</v>
      </c>
      <c r="W57" s="82" t="s">
        <v>1588</v>
      </c>
      <c r="X57" s="80" t="str">
        <f>HYPERLINK("http://williamhunt.com.br/segredos-dos-investimentos-para-iniciantes")</f>
        <v>http://williamhunt.com.br/segredos-dos-investimentos-para-iniciantes</v>
      </c>
      <c r="Y57" s="77" t="s">
        <v>2129</v>
      </c>
      <c r="Z57" s="77"/>
      <c r="AA57" s="77" t="s">
        <v>2222</v>
      </c>
      <c r="AB57" s="77" t="s">
        <v>2715</v>
      </c>
      <c r="AC57" s="82" t="s">
        <v>2722</v>
      </c>
      <c r="AD57" s="77" t="s">
        <v>2752</v>
      </c>
      <c r="AE57" s="80" t="str">
        <f>HYPERLINK("https://twitter.com/williamhuntbr/status/1656281403540094976")</f>
        <v>https://twitter.com/williamhuntbr/status/1656281403540094976</v>
      </c>
      <c r="AF57" s="79">
        <v>45056.537418981483</v>
      </c>
      <c r="AG57" s="85">
        <v>45056</v>
      </c>
      <c r="AH57" s="82" t="s">
        <v>2815</v>
      </c>
      <c r="AI57" s="77" t="b">
        <v>0</v>
      </c>
      <c r="AJ57" s="77"/>
      <c r="AK57" s="77"/>
      <c r="AL57" s="77"/>
      <c r="AM57" s="77"/>
      <c r="AN57" s="77"/>
      <c r="AO57" s="77"/>
      <c r="AP57" s="77"/>
      <c r="AQ57" s="77" t="s">
        <v>3848</v>
      </c>
      <c r="AR57" s="77"/>
      <c r="AS57" s="77"/>
      <c r="AT57" s="77"/>
      <c r="AU57" s="77"/>
      <c r="AV57" s="80" t="str">
        <f>HYPERLINK("https://pbs.twimg.com/media/FvxLJyMXsAI5Icn.jpg")</f>
        <v>https://pbs.twimg.com/media/FvxLJyMXsAI5Icn.jpg</v>
      </c>
      <c r="AW57" s="82" t="s">
        <v>4391</v>
      </c>
      <c r="AX57" s="82" t="s">
        <v>4391</v>
      </c>
      <c r="AY57" s="77"/>
      <c r="AZ57" s="82" t="s">
        <v>5615</v>
      </c>
      <c r="BA57" s="82" t="s">
        <v>5615</v>
      </c>
      <c r="BB57" s="82" t="s">
        <v>5615</v>
      </c>
      <c r="BC57" s="82" t="s">
        <v>4391</v>
      </c>
      <c r="BD57" s="82" t="s">
        <v>5880</v>
      </c>
      <c r="BE57" s="77"/>
      <c r="BF57" s="77"/>
      <c r="BG57" s="77"/>
      <c r="BH57" s="77"/>
      <c r="BI57" s="77"/>
    </row>
    <row r="58" spans="1:61" x14ac:dyDescent="0.25">
      <c r="A58" s="62" t="s">
        <v>261</v>
      </c>
      <c r="B58" s="62" t="s">
        <v>261</v>
      </c>
      <c r="C58" s="63"/>
      <c r="D58" s="64"/>
      <c r="E58" s="65"/>
      <c r="F58" s="66"/>
      <c r="G58" s="63"/>
      <c r="H58" s="67"/>
      <c r="I58" s="68"/>
      <c r="J58" s="68"/>
      <c r="K58" s="32"/>
      <c r="L58" s="75">
        <v>58</v>
      </c>
      <c r="M58" s="75"/>
      <c r="N58" s="70"/>
      <c r="O58" s="77" t="s">
        <v>179</v>
      </c>
      <c r="P58" s="79">
        <v>45054.500011574077</v>
      </c>
      <c r="Q58" s="77" t="s">
        <v>641</v>
      </c>
      <c r="R58" s="77">
        <v>0</v>
      </c>
      <c r="S58" s="77">
        <v>0</v>
      </c>
      <c r="T58" s="77">
        <v>0</v>
      </c>
      <c r="U58" s="77">
        <v>0</v>
      </c>
      <c r="V58" s="77">
        <v>35</v>
      </c>
      <c r="W58" s="82" t="s">
        <v>1589</v>
      </c>
      <c r="X58" s="80" t="str">
        <f>HYPERLINK("https://www.williamhunt.com.br/segredos-dos-investimentos-para-iniciantes")</f>
        <v>https://www.williamhunt.com.br/segredos-dos-investimentos-para-iniciantes</v>
      </c>
      <c r="Y58" s="77" t="s">
        <v>2129</v>
      </c>
      <c r="Z58" s="77"/>
      <c r="AA58" s="77" t="s">
        <v>2223</v>
      </c>
      <c r="AB58" s="77" t="s">
        <v>2714</v>
      </c>
      <c r="AC58" s="82" t="s">
        <v>2722</v>
      </c>
      <c r="AD58" s="77" t="s">
        <v>2752</v>
      </c>
      <c r="AE58" s="80" t="str">
        <f>HYPERLINK("https://twitter.com/williamhuntbr/status/1655543073877942273")</f>
        <v>https://twitter.com/williamhuntbr/status/1655543073877942273</v>
      </c>
      <c r="AF58" s="79">
        <v>45054.500011574077</v>
      </c>
      <c r="AG58" s="85">
        <v>45054</v>
      </c>
      <c r="AH58" s="82" t="s">
        <v>2816</v>
      </c>
      <c r="AI58" s="77" t="b">
        <v>0</v>
      </c>
      <c r="AJ58" s="77"/>
      <c r="AK58" s="77"/>
      <c r="AL58" s="77"/>
      <c r="AM58" s="77"/>
      <c r="AN58" s="77"/>
      <c r="AO58" s="77"/>
      <c r="AP58" s="77"/>
      <c r="AQ58" s="77" t="s">
        <v>3849</v>
      </c>
      <c r="AR58" s="77"/>
      <c r="AS58" s="77"/>
      <c r="AT58" s="77"/>
      <c r="AU58" s="77"/>
      <c r="AV58" s="80" t="str">
        <f>HYPERLINK("https://pbs.twimg.com/media/FvJAfHHWACAkdXW.jpg")</f>
        <v>https://pbs.twimg.com/media/FvJAfHHWACAkdXW.jpg</v>
      </c>
      <c r="AW58" s="82" t="s">
        <v>4392</v>
      </c>
      <c r="AX58" s="82" t="s">
        <v>4392</v>
      </c>
      <c r="AY58" s="77"/>
      <c r="AZ58" s="82" t="s">
        <v>5615</v>
      </c>
      <c r="BA58" s="82" t="s">
        <v>5615</v>
      </c>
      <c r="BB58" s="82" t="s">
        <v>5615</v>
      </c>
      <c r="BC58" s="82" t="s">
        <v>4392</v>
      </c>
      <c r="BD58" s="82" t="s">
        <v>5880</v>
      </c>
      <c r="BE58" s="77"/>
      <c r="BF58" s="77"/>
      <c r="BG58" s="77"/>
      <c r="BH58" s="77"/>
      <c r="BI58" s="77"/>
    </row>
    <row r="59" spans="1:61" x14ac:dyDescent="0.25">
      <c r="A59" s="62" t="s">
        <v>261</v>
      </c>
      <c r="B59" s="62" t="s">
        <v>261</v>
      </c>
      <c r="C59" s="63"/>
      <c r="D59" s="64"/>
      <c r="E59" s="65"/>
      <c r="F59" s="66"/>
      <c r="G59" s="63"/>
      <c r="H59" s="67"/>
      <c r="I59" s="68"/>
      <c r="J59" s="68"/>
      <c r="K59" s="32"/>
      <c r="L59" s="75">
        <v>59</v>
      </c>
      <c r="M59" s="75"/>
      <c r="N59" s="70"/>
      <c r="O59" s="77" t="s">
        <v>179</v>
      </c>
      <c r="P59" s="79">
        <v>45142.5</v>
      </c>
      <c r="Q59" s="77" t="s">
        <v>642</v>
      </c>
      <c r="R59" s="77">
        <v>0</v>
      </c>
      <c r="S59" s="77">
        <v>0</v>
      </c>
      <c r="T59" s="77">
        <v>0</v>
      </c>
      <c r="U59" s="77">
        <v>0</v>
      </c>
      <c r="V59" s="77">
        <v>121</v>
      </c>
      <c r="W59" s="82" t="s">
        <v>1590</v>
      </c>
      <c r="X59" s="80" t="str">
        <f>HYPERLINK("http://www.williamhunt.com.br/completo")</f>
        <v>http://www.williamhunt.com.br/completo</v>
      </c>
      <c r="Y59" s="77" t="s">
        <v>2129</v>
      </c>
      <c r="Z59" s="77"/>
      <c r="AA59" s="77" t="s">
        <v>2224</v>
      </c>
      <c r="AB59" s="77" t="s">
        <v>2714</v>
      </c>
      <c r="AC59" s="82" t="s">
        <v>2722</v>
      </c>
      <c r="AD59" s="77" t="s">
        <v>2752</v>
      </c>
      <c r="AE59" s="80" t="str">
        <f>HYPERLINK("https://twitter.com/williamhuntbr/status/1687433198618468352")</f>
        <v>https://twitter.com/williamhuntbr/status/1687433198618468352</v>
      </c>
      <c r="AF59" s="79">
        <v>45142.5</v>
      </c>
      <c r="AG59" s="85">
        <v>45142</v>
      </c>
      <c r="AH59" s="82" t="s">
        <v>2817</v>
      </c>
      <c r="AI59" s="77" t="b">
        <v>0</v>
      </c>
      <c r="AJ59" s="77"/>
      <c r="AK59" s="77"/>
      <c r="AL59" s="77"/>
      <c r="AM59" s="77"/>
      <c r="AN59" s="77"/>
      <c r="AO59" s="77"/>
      <c r="AP59" s="77"/>
      <c r="AQ59" s="77" t="s">
        <v>3850</v>
      </c>
      <c r="AR59" s="77"/>
      <c r="AS59" s="77"/>
      <c r="AT59" s="77"/>
      <c r="AU59" s="77"/>
      <c r="AV59" s="80" t="str">
        <f>HYPERLINK("https://pbs.twimg.com/media/F2D-u3aXQAAEkH-.jpg")</f>
        <v>https://pbs.twimg.com/media/F2D-u3aXQAAEkH-.jpg</v>
      </c>
      <c r="AW59" s="82" t="s">
        <v>4393</v>
      </c>
      <c r="AX59" s="82" t="s">
        <v>4393</v>
      </c>
      <c r="AY59" s="77"/>
      <c r="AZ59" s="82" t="s">
        <v>5615</v>
      </c>
      <c r="BA59" s="82" t="s">
        <v>5615</v>
      </c>
      <c r="BB59" s="82" t="s">
        <v>5615</v>
      </c>
      <c r="BC59" s="82" t="s">
        <v>4393</v>
      </c>
      <c r="BD59" s="82" t="s">
        <v>5880</v>
      </c>
      <c r="BE59" s="77"/>
      <c r="BF59" s="77"/>
      <c r="BG59" s="77"/>
      <c r="BH59" s="77"/>
      <c r="BI59" s="77"/>
    </row>
    <row r="60" spans="1:61" x14ac:dyDescent="0.25">
      <c r="A60" s="62" t="s">
        <v>261</v>
      </c>
      <c r="B60" s="62" t="s">
        <v>261</v>
      </c>
      <c r="C60" s="63"/>
      <c r="D60" s="64"/>
      <c r="E60" s="65"/>
      <c r="F60" s="66"/>
      <c r="G60" s="63"/>
      <c r="H60" s="67"/>
      <c r="I60" s="68"/>
      <c r="J60" s="68"/>
      <c r="K60" s="32"/>
      <c r="L60" s="75">
        <v>60</v>
      </c>
      <c r="M60" s="75"/>
      <c r="N60" s="70"/>
      <c r="O60" s="77" t="s">
        <v>179</v>
      </c>
      <c r="P60" s="79">
        <v>45047.652303240742</v>
      </c>
      <c r="Q60" s="77" t="s">
        <v>643</v>
      </c>
      <c r="R60" s="77">
        <v>0</v>
      </c>
      <c r="S60" s="77">
        <v>0</v>
      </c>
      <c r="T60" s="77">
        <v>0</v>
      </c>
      <c r="U60" s="77">
        <v>0</v>
      </c>
      <c r="V60" s="77">
        <v>21</v>
      </c>
      <c r="W60" s="82" t="s">
        <v>1591</v>
      </c>
      <c r="X60" s="80" t="str">
        <f>HYPERLINK("http://www.williamhunt.com.br/completo")</f>
        <v>http://www.williamhunt.com.br/completo</v>
      </c>
      <c r="Y60" s="77" t="s">
        <v>2129</v>
      </c>
      <c r="Z60" s="77"/>
      <c r="AA60" s="77" t="s">
        <v>2225</v>
      </c>
      <c r="AB60" s="77" t="s">
        <v>2714</v>
      </c>
      <c r="AC60" s="82" t="s">
        <v>2722</v>
      </c>
      <c r="AD60" s="77" t="s">
        <v>2752</v>
      </c>
      <c r="AE60" s="80" t="str">
        <f>HYPERLINK("https://twitter.com/williamhuntbr/status/1653061545675333634")</f>
        <v>https://twitter.com/williamhuntbr/status/1653061545675333634</v>
      </c>
      <c r="AF60" s="79">
        <v>45047.652303240742</v>
      </c>
      <c r="AG60" s="85">
        <v>45047</v>
      </c>
      <c r="AH60" s="82" t="s">
        <v>2818</v>
      </c>
      <c r="AI60" s="77" t="b">
        <v>0</v>
      </c>
      <c r="AJ60" s="77"/>
      <c r="AK60" s="77"/>
      <c r="AL60" s="77"/>
      <c r="AM60" s="77"/>
      <c r="AN60" s="77"/>
      <c r="AO60" s="77"/>
      <c r="AP60" s="77"/>
      <c r="AQ60" s="77" t="s">
        <v>3851</v>
      </c>
      <c r="AR60" s="77"/>
      <c r="AS60" s="77"/>
      <c r="AT60" s="77"/>
      <c r="AU60" s="77"/>
      <c r="AV60" s="80" t="str">
        <f>HYPERLINK("https://pbs.twimg.com/media/FvDahdUXgAA3awb.jpg")</f>
        <v>https://pbs.twimg.com/media/FvDahdUXgAA3awb.jpg</v>
      </c>
      <c r="AW60" s="82" t="s">
        <v>4394</v>
      </c>
      <c r="AX60" s="82" t="s">
        <v>4394</v>
      </c>
      <c r="AY60" s="77"/>
      <c r="AZ60" s="82" t="s">
        <v>5615</v>
      </c>
      <c r="BA60" s="82" t="s">
        <v>5615</v>
      </c>
      <c r="BB60" s="82" t="s">
        <v>5615</v>
      </c>
      <c r="BC60" s="82" t="s">
        <v>4394</v>
      </c>
      <c r="BD60" s="82" t="s">
        <v>5880</v>
      </c>
      <c r="BE60" s="77"/>
      <c r="BF60" s="77"/>
      <c r="BG60" s="77"/>
      <c r="BH60" s="77"/>
      <c r="BI60" s="77"/>
    </row>
    <row r="61" spans="1:61" x14ac:dyDescent="0.25">
      <c r="A61" s="62" t="s">
        <v>261</v>
      </c>
      <c r="B61" s="62" t="s">
        <v>261</v>
      </c>
      <c r="C61" s="63"/>
      <c r="D61" s="64"/>
      <c r="E61" s="65"/>
      <c r="F61" s="66"/>
      <c r="G61" s="63"/>
      <c r="H61" s="67"/>
      <c r="I61" s="68"/>
      <c r="J61" s="68"/>
      <c r="K61" s="32"/>
      <c r="L61" s="75">
        <v>61</v>
      </c>
      <c r="M61" s="75"/>
      <c r="N61" s="70"/>
      <c r="O61" s="77" t="s">
        <v>179</v>
      </c>
      <c r="P61" s="79">
        <v>45000.622777777775</v>
      </c>
      <c r="Q61" s="77" t="s">
        <v>644</v>
      </c>
      <c r="R61" s="77">
        <v>0</v>
      </c>
      <c r="S61" s="77">
        <v>1</v>
      </c>
      <c r="T61" s="77">
        <v>0</v>
      </c>
      <c r="U61" s="77">
        <v>0</v>
      </c>
      <c r="V61" s="77">
        <v>27</v>
      </c>
      <c r="W61" s="82" t="s">
        <v>1592</v>
      </c>
      <c r="X61" s="77"/>
      <c r="Y61" s="77"/>
      <c r="Z61" s="77"/>
      <c r="AA61" s="77" t="s">
        <v>2226</v>
      </c>
      <c r="AB61" s="77" t="s">
        <v>2714</v>
      </c>
      <c r="AC61" s="82" t="s">
        <v>2722</v>
      </c>
      <c r="AD61" s="77" t="s">
        <v>2752</v>
      </c>
      <c r="AE61" s="80" t="str">
        <f>HYPERLINK("https://twitter.com/williamhuntbr/status/1636018616276582414")</f>
        <v>https://twitter.com/williamhuntbr/status/1636018616276582414</v>
      </c>
      <c r="AF61" s="79">
        <v>45000.622777777775</v>
      </c>
      <c r="AG61" s="85">
        <v>45000</v>
      </c>
      <c r="AH61" s="82" t="s">
        <v>2819</v>
      </c>
      <c r="AI61" s="77" t="b">
        <v>0</v>
      </c>
      <c r="AJ61" s="77"/>
      <c r="AK61" s="77"/>
      <c r="AL61" s="77"/>
      <c r="AM61" s="77"/>
      <c r="AN61" s="77"/>
      <c r="AO61" s="77"/>
      <c r="AP61" s="77"/>
      <c r="AQ61" s="77" t="s">
        <v>3852</v>
      </c>
      <c r="AR61" s="77"/>
      <c r="AS61" s="77"/>
      <c r="AT61" s="77"/>
      <c r="AU61" s="77"/>
      <c r="AV61" s="80" t="str">
        <f>HYPERLINK("https://pbs.twimg.com/media/FrROOutXoAQkKDg.jpg")</f>
        <v>https://pbs.twimg.com/media/FrROOutXoAQkKDg.jpg</v>
      </c>
      <c r="AW61" s="82" t="s">
        <v>4395</v>
      </c>
      <c r="AX61" s="82" t="s">
        <v>4395</v>
      </c>
      <c r="AY61" s="77"/>
      <c r="AZ61" s="82" t="s">
        <v>5615</v>
      </c>
      <c r="BA61" s="82" t="s">
        <v>5615</v>
      </c>
      <c r="BB61" s="82" t="s">
        <v>5615</v>
      </c>
      <c r="BC61" s="82" t="s">
        <v>4395</v>
      </c>
      <c r="BD61" s="82" t="s">
        <v>5880</v>
      </c>
      <c r="BE61" s="77"/>
      <c r="BF61" s="77"/>
      <c r="BG61" s="77"/>
      <c r="BH61" s="77"/>
      <c r="BI61" s="77"/>
    </row>
    <row r="62" spans="1:61" x14ac:dyDescent="0.25">
      <c r="A62" s="62" t="s">
        <v>261</v>
      </c>
      <c r="B62" s="62" t="s">
        <v>261</v>
      </c>
      <c r="C62" s="63"/>
      <c r="D62" s="64"/>
      <c r="E62" s="65"/>
      <c r="F62" s="66"/>
      <c r="G62" s="63"/>
      <c r="H62" s="67"/>
      <c r="I62" s="68"/>
      <c r="J62" s="68"/>
      <c r="K62" s="32"/>
      <c r="L62" s="75">
        <v>62</v>
      </c>
      <c r="M62" s="75"/>
      <c r="N62" s="70"/>
      <c r="O62" s="77" t="s">
        <v>179</v>
      </c>
      <c r="P62" s="79">
        <v>45170.551898148151</v>
      </c>
      <c r="Q62" s="77" t="s">
        <v>645</v>
      </c>
      <c r="R62" s="77">
        <v>0</v>
      </c>
      <c r="S62" s="77">
        <v>0</v>
      </c>
      <c r="T62" s="77">
        <v>0</v>
      </c>
      <c r="U62" s="77">
        <v>0</v>
      </c>
      <c r="V62" s="77">
        <v>37</v>
      </c>
      <c r="W62" s="82" t="s">
        <v>1593</v>
      </c>
      <c r="X62" s="80" t="str">
        <f>HYPERLINK("http://www.williamhunt.com.br/completo")</f>
        <v>http://www.williamhunt.com.br/completo</v>
      </c>
      <c r="Y62" s="77" t="s">
        <v>2129</v>
      </c>
      <c r="Z62" s="77"/>
      <c r="AA62" s="77" t="s">
        <v>2227</v>
      </c>
      <c r="AB62" s="77" t="s">
        <v>2714</v>
      </c>
      <c r="AC62" s="82" t="s">
        <v>2722</v>
      </c>
      <c r="AD62" s="77" t="s">
        <v>2752</v>
      </c>
      <c r="AE62" s="80" t="str">
        <f>HYPERLINK("https://twitter.com/williamhuntbr/status/1697598865598189633")</f>
        <v>https://twitter.com/williamhuntbr/status/1697598865598189633</v>
      </c>
      <c r="AF62" s="79">
        <v>45170.551898148151</v>
      </c>
      <c r="AG62" s="85">
        <v>45170</v>
      </c>
      <c r="AH62" s="82" t="s">
        <v>2820</v>
      </c>
      <c r="AI62" s="77" t="b">
        <v>0</v>
      </c>
      <c r="AJ62" s="77"/>
      <c r="AK62" s="77"/>
      <c r="AL62" s="77"/>
      <c r="AM62" s="77"/>
      <c r="AN62" s="77"/>
      <c r="AO62" s="77"/>
      <c r="AP62" s="77"/>
      <c r="AQ62" s="77" t="s">
        <v>3853</v>
      </c>
      <c r="AR62" s="77"/>
      <c r="AS62" s="77"/>
      <c r="AT62" s="77"/>
      <c r="AU62" s="77"/>
      <c r="AV62" s="80" t="str">
        <f>HYPERLINK("https://pbs.twimg.com/media/F48VFn9WAAIoeiY.jpg")</f>
        <v>https://pbs.twimg.com/media/F48VFn9WAAIoeiY.jpg</v>
      </c>
      <c r="AW62" s="82" t="s">
        <v>4396</v>
      </c>
      <c r="AX62" s="82" t="s">
        <v>4396</v>
      </c>
      <c r="AY62" s="77"/>
      <c r="AZ62" s="82" t="s">
        <v>5615</v>
      </c>
      <c r="BA62" s="82" t="s">
        <v>5615</v>
      </c>
      <c r="BB62" s="82" t="s">
        <v>5615</v>
      </c>
      <c r="BC62" s="82" t="s">
        <v>4396</v>
      </c>
      <c r="BD62" s="82" t="s">
        <v>5880</v>
      </c>
      <c r="BE62" s="77"/>
      <c r="BF62" s="77"/>
      <c r="BG62" s="77"/>
      <c r="BH62" s="77"/>
      <c r="BI62" s="77"/>
    </row>
    <row r="63" spans="1:61" x14ac:dyDescent="0.25">
      <c r="A63" s="62" t="s">
        <v>261</v>
      </c>
      <c r="B63" s="62" t="s">
        <v>261</v>
      </c>
      <c r="C63" s="63"/>
      <c r="D63" s="64"/>
      <c r="E63" s="65"/>
      <c r="F63" s="66"/>
      <c r="G63" s="63"/>
      <c r="H63" s="67"/>
      <c r="I63" s="68"/>
      <c r="J63" s="68"/>
      <c r="K63" s="32"/>
      <c r="L63" s="75">
        <v>63</v>
      </c>
      <c r="M63" s="75"/>
      <c r="N63" s="70"/>
      <c r="O63" s="77" t="s">
        <v>179</v>
      </c>
      <c r="P63" s="79">
        <v>45145.5</v>
      </c>
      <c r="Q63" s="77" t="s">
        <v>646</v>
      </c>
      <c r="R63" s="77">
        <v>0</v>
      </c>
      <c r="S63" s="77">
        <v>0</v>
      </c>
      <c r="T63" s="77">
        <v>0</v>
      </c>
      <c r="U63" s="77">
        <v>0</v>
      </c>
      <c r="V63" s="77">
        <v>24</v>
      </c>
      <c r="W63" s="82" t="s">
        <v>1594</v>
      </c>
      <c r="X63" s="80" t="str">
        <f>HYPERLINK("http://www.williamhunt.com.br/completo")</f>
        <v>http://www.williamhunt.com.br/completo</v>
      </c>
      <c r="Y63" s="77" t="s">
        <v>2129</v>
      </c>
      <c r="Z63" s="77"/>
      <c r="AA63" s="77" t="s">
        <v>2228</v>
      </c>
      <c r="AB63" s="77" t="s">
        <v>2718</v>
      </c>
      <c r="AC63" s="82" t="s">
        <v>2722</v>
      </c>
      <c r="AD63" s="77" t="s">
        <v>2752</v>
      </c>
      <c r="AE63" s="80" t="str">
        <f>HYPERLINK("https://twitter.com/williamhuntbr/status/1688520364639617024")</f>
        <v>https://twitter.com/williamhuntbr/status/1688520364639617024</v>
      </c>
      <c r="AF63" s="79">
        <v>45145.5</v>
      </c>
      <c r="AG63" s="85">
        <v>45145</v>
      </c>
      <c r="AH63" s="82" t="s">
        <v>2817</v>
      </c>
      <c r="AI63" s="77" t="b">
        <v>0</v>
      </c>
      <c r="AJ63" s="77"/>
      <c r="AK63" s="77"/>
      <c r="AL63" s="77"/>
      <c r="AM63" s="77"/>
      <c r="AN63" s="77"/>
      <c r="AO63" s="77"/>
      <c r="AP63" s="77"/>
      <c r="AQ63" s="77" t="s">
        <v>3854</v>
      </c>
      <c r="AR63" s="77"/>
      <c r="AS63" s="77"/>
      <c r="AT63" s="77"/>
      <c r="AU63" s="77"/>
      <c r="AV63" s="80" t="str">
        <f>HYPERLINK("https://pbs.twimg.com/media/F2EbA_dW4AEG2QV.jpg")</f>
        <v>https://pbs.twimg.com/media/F2EbA_dW4AEG2QV.jpg</v>
      </c>
      <c r="AW63" s="82" t="s">
        <v>4397</v>
      </c>
      <c r="AX63" s="82" t="s">
        <v>4397</v>
      </c>
      <c r="AY63" s="77"/>
      <c r="AZ63" s="82" t="s">
        <v>5615</v>
      </c>
      <c r="BA63" s="82" t="s">
        <v>5615</v>
      </c>
      <c r="BB63" s="82" t="s">
        <v>5615</v>
      </c>
      <c r="BC63" s="82" t="s">
        <v>4397</v>
      </c>
      <c r="BD63" s="82" t="s">
        <v>5880</v>
      </c>
      <c r="BE63" s="77"/>
      <c r="BF63" s="77"/>
      <c r="BG63" s="77"/>
      <c r="BH63" s="77"/>
      <c r="BI63" s="77"/>
    </row>
    <row r="64" spans="1:61" x14ac:dyDescent="0.25">
      <c r="A64" s="62" t="s">
        <v>262</v>
      </c>
      <c r="B64" s="62" t="s">
        <v>262</v>
      </c>
      <c r="C64" s="63"/>
      <c r="D64" s="64"/>
      <c r="E64" s="65"/>
      <c r="F64" s="66"/>
      <c r="G64" s="63"/>
      <c r="H64" s="67"/>
      <c r="I64" s="68"/>
      <c r="J64" s="68"/>
      <c r="K64" s="32"/>
      <c r="L64" s="75">
        <v>64</v>
      </c>
      <c r="M64" s="75"/>
      <c r="N64" s="70"/>
      <c r="O64" s="77" t="s">
        <v>179</v>
      </c>
      <c r="P64" s="79">
        <v>45006.083935185183</v>
      </c>
      <c r="Q64" s="77" t="s">
        <v>647</v>
      </c>
      <c r="R64" s="77">
        <v>0</v>
      </c>
      <c r="S64" s="77">
        <v>0</v>
      </c>
      <c r="T64" s="77">
        <v>0</v>
      </c>
      <c r="U64" s="77">
        <v>0</v>
      </c>
      <c r="V64" s="77">
        <v>758</v>
      </c>
      <c r="W64" s="82" t="s">
        <v>1595</v>
      </c>
      <c r="X64" s="77"/>
      <c r="Y64" s="77"/>
      <c r="Z64" s="77"/>
      <c r="AA64" s="77" t="s">
        <v>2229</v>
      </c>
      <c r="AB64" s="77" t="s">
        <v>2713</v>
      </c>
      <c r="AC64" s="82" t="s">
        <v>2719</v>
      </c>
      <c r="AD64" s="77" t="s">
        <v>2752</v>
      </c>
      <c r="AE64" s="80" t="str">
        <f>HYPERLINK("https://twitter.com/raiamparts/status/1637997674677911553")</f>
        <v>https://twitter.com/raiamparts/status/1637997674677911553</v>
      </c>
      <c r="AF64" s="79">
        <v>45006.083935185183</v>
      </c>
      <c r="AG64" s="85">
        <v>45006</v>
      </c>
      <c r="AH64" s="82" t="s">
        <v>2821</v>
      </c>
      <c r="AI64" s="77" t="b">
        <v>0</v>
      </c>
      <c r="AJ64" s="77"/>
      <c r="AK64" s="77"/>
      <c r="AL64" s="77"/>
      <c r="AM64" s="77"/>
      <c r="AN64" s="77"/>
      <c r="AO64" s="77"/>
      <c r="AP64" s="77"/>
      <c r="AQ64" s="77" t="s">
        <v>3855</v>
      </c>
      <c r="AR64" s="77">
        <v>68033</v>
      </c>
      <c r="AS64" s="77"/>
      <c r="AT64" s="77"/>
      <c r="AU64" s="77"/>
      <c r="AV64" s="80" t="str">
        <f>HYPERLINK("https://pbs.twimg.com/ext_tw_video_thumb/1637997489377640449/pu/img/g-b70OAsr0xRbQuv.jpg")</f>
        <v>https://pbs.twimg.com/ext_tw_video_thumb/1637997489377640449/pu/img/g-b70OAsr0xRbQuv.jpg</v>
      </c>
      <c r="AW64" s="82" t="s">
        <v>4398</v>
      </c>
      <c r="AX64" s="82" t="s">
        <v>4398</v>
      </c>
      <c r="AY64" s="77"/>
      <c r="AZ64" s="82" t="s">
        <v>5615</v>
      </c>
      <c r="BA64" s="82" t="s">
        <v>5615</v>
      </c>
      <c r="BB64" s="82" t="s">
        <v>5615</v>
      </c>
      <c r="BC64" s="82" t="s">
        <v>4398</v>
      </c>
      <c r="BD64" s="82" t="s">
        <v>5881</v>
      </c>
      <c r="BE64" s="77"/>
      <c r="BF64" s="77"/>
      <c r="BG64" s="77"/>
      <c r="BH64" s="77"/>
      <c r="BI64" s="77"/>
    </row>
    <row r="65" spans="1:61" x14ac:dyDescent="0.25">
      <c r="A65" s="62" t="s">
        <v>263</v>
      </c>
      <c r="B65" s="62" t="s">
        <v>263</v>
      </c>
      <c r="C65" s="63"/>
      <c r="D65" s="64"/>
      <c r="E65" s="65"/>
      <c r="F65" s="66"/>
      <c r="G65" s="63"/>
      <c r="H65" s="67"/>
      <c r="I65" s="68"/>
      <c r="J65" s="68"/>
      <c r="K65" s="32"/>
      <c r="L65" s="75">
        <v>65</v>
      </c>
      <c r="M65" s="75"/>
      <c r="N65" s="70"/>
      <c r="O65" s="77" t="s">
        <v>179</v>
      </c>
      <c r="P65" s="79">
        <v>44983.750775462962</v>
      </c>
      <c r="Q65" s="77" t="s">
        <v>648</v>
      </c>
      <c r="R65" s="77">
        <v>0</v>
      </c>
      <c r="S65" s="77">
        <v>0</v>
      </c>
      <c r="T65" s="77">
        <v>0</v>
      </c>
      <c r="U65" s="77">
        <v>0</v>
      </c>
      <c r="V65" s="77">
        <v>39</v>
      </c>
      <c r="W65" s="82" t="s">
        <v>1596</v>
      </c>
      <c r="X65" s="77"/>
      <c r="Y65" s="77"/>
      <c r="Z65" s="77"/>
      <c r="AA65" s="77" t="s">
        <v>2230</v>
      </c>
      <c r="AB65" s="77" t="s">
        <v>2713</v>
      </c>
      <c r="AC65" s="82" t="s">
        <v>2719</v>
      </c>
      <c r="AD65" s="77" t="s">
        <v>2752</v>
      </c>
      <c r="AE65" s="80" t="str">
        <f>HYPERLINK("https://twitter.com/arbv_assessoria/status/1629904408984035338")</f>
        <v>https://twitter.com/arbv_assessoria/status/1629904408984035338</v>
      </c>
      <c r="AF65" s="79">
        <v>44983.750775462962</v>
      </c>
      <c r="AG65" s="85">
        <v>44983</v>
      </c>
      <c r="AH65" s="82" t="s">
        <v>2822</v>
      </c>
      <c r="AI65" s="77" t="b">
        <v>0</v>
      </c>
      <c r="AJ65" s="77"/>
      <c r="AK65" s="77"/>
      <c r="AL65" s="77"/>
      <c r="AM65" s="77"/>
      <c r="AN65" s="77"/>
      <c r="AO65" s="77"/>
      <c r="AP65" s="77"/>
      <c r="AQ65" s="77" t="s">
        <v>3856</v>
      </c>
      <c r="AR65" s="77">
        <v>29117</v>
      </c>
      <c r="AS65" s="77"/>
      <c r="AT65" s="77"/>
      <c r="AU65" s="77"/>
      <c r="AV65" s="80" t="str">
        <f>HYPERLINK("https://pbs.twimg.com/ext_tw_video_thumb/1629904374452441089/pu/img/0D_7PlpH-0lrIAPf.jpg")</f>
        <v>https://pbs.twimg.com/ext_tw_video_thumb/1629904374452441089/pu/img/0D_7PlpH-0lrIAPf.jpg</v>
      </c>
      <c r="AW65" s="82" t="s">
        <v>4399</v>
      </c>
      <c r="AX65" s="82" t="s">
        <v>4399</v>
      </c>
      <c r="AY65" s="77"/>
      <c r="AZ65" s="82" t="s">
        <v>5615</v>
      </c>
      <c r="BA65" s="82" t="s">
        <v>5615</v>
      </c>
      <c r="BB65" s="82" t="s">
        <v>5615</v>
      </c>
      <c r="BC65" s="82" t="s">
        <v>4399</v>
      </c>
      <c r="BD65" s="82" t="s">
        <v>5882</v>
      </c>
      <c r="BE65" s="77"/>
      <c r="BF65" s="77"/>
      <c r="BG65" s="77"/>
      <c r="BH65" s="77"/>
      <c r="BI65" s="77"/>
    </row>
    <row r="66" spans="1:61" x14ac:dyDescent="0.25">
      <c r="A66" s="62" t="s">
        <v>264</v>
      </c>
      <c r="B66" s="62" t="s">
        <v>264</v>
      </c>
      <c r="C66" s="63"/>
      <c r="D66" s="64"/>
      <c r="E66" s="65"/>
      <c r="F66" s="66"/>
      <c r="G66" s="63"/>
      <c r="H66" s="67"/>
      <c r="I66" s="68"/>
      <c r="J66" s="68"/>
      <c r="K66" s="32"/>
      <c r="L66" s="75">
        <v>66</v>
      </c>
      <c r="M66" s="75"/>
      <c r="N66" s="70"/>
      <c r="O66" s="77" t="s">
        <v>179</v>
      </c>
      <c r="P66" s="79">
        <v>45164.834826388891</v>
      </c>
      <c r="Q66" s="77" t="s">
        <v>649</v>
      </c>
      <c r="R66" s="77">
        <v>0</v>
      </c>
      <c r="S66" s="77">
        <v>0</v>
      </c>
      <c r="T66" s="77">
        <v>0</v>
      </c>
      <c r="U66" s="77">
        <v>0</v>
      </c>
      <c r="V66" s="77">
        <v>21</v>
      </c>
      <c r="W66" s="82" t="s">
        <v>1597</v>
      </c>
      <c r="X66" s="77"/>
      <c r="Y66" s="77"/>
      <c r="Z66" s="77"/>
      <c r="AA66" s="77"/>
      <c r="AB66" s="77"/>
      <c r="AC66" s="82" t="s">
        <v>2719</v>
      </c>
      <c r="AD66" s="77" t="s">
        <v>2752</v>
      </c>
      <c r="AE66" s="80" t="str">
        <f>HYPERLINK("https://twitter.com/dhon_511/status/1695527070766428377")</f>
        <v>https://twitter.com/dhon_511/status/1695527070766428377</v>
      </c>
      <c r="AF66" s="79">
        <v>45164.834826388891</v>
      </c>
      <c r="AG66" s="85">
        <v>45164</v>
      </c>
      <c r="AH66" s="82" t="s">
        <v>2823</v>
      </c>
      <c r="AI66" s="77"/>
      <c r="AJ66" s="77"/>
      <c r="AK66" s="77"/>
      <c r="AL66" s="77"/>
      <c r="AM66" s="77"/>
      <c r="AN66" s="77"/>
      <c r="AO66" s="77"/>
      <c r="AP66" s="77"/>
      <c r="AQ66" s="77"/>
      <c r="AR66" s="77"/>
      <c r="AS66" s="77"/>
      <c r="AT66" s="77"/>
      <c r="AU66" s="77"/>
      <c r="AV66" s="80" t="str">
        <f>HYPERLINK("https://pbs.twimg.com/profile_images/1628383764215627777/bz2yMK_E_normal.jpg")</f>
        <v>https://pbs.twimg.com/profile_images/1628383764215627777/bz2yMK_E_normal.jpg</v>
      </c>
      <c r="AW66" s="82" t="s">
        <v>4400</v>
      </c>
      <c r="AX66" s="82" t="s">
        <v>4400</v>
      </c>
      <c r="AY66" s="77"/>
      <c r="AZ66" s="82" t="s">
        <v>5615</v>
      </c>
      <c r="BA66" s="82" t="s">
        <v>5615</v>
      </c>
      <c r="BB66" s="82" t="s">
        <v>5615</v>
      </c>
      <c r="BC66" s="82" t="s">
        <v>4400</v>
      </c>
      <c r="BD66" s="82" t="s">
        <v>5883</v>
      </c>
      <c r="BE66" s="77"/>
      <c r="BF66" s="77"/>
      <c r="BG66" s="77"/>
      <c r="BH66" s="77"/>
      <c r="BI66" s="77"/>
    </row>
    <row r="67" spans="1:61" x14ac:dyDescent="0.25">
      <c r="A67" s="62" t="s">
        <v>265</v>
      </c>
      <c r="B67" s="62" t="s">
        <v>265</v>
      </c>
      <c r="C67" s="63"/>
      <c r="D67" s="64"/>
      <c r="E67" s="65"/>
      <c r="F67" s="66"/>
      <c r="G67" s="63"/>
      <c r="H67" s="67"/>
      <c r="I67" s="68"/>
      <c r="J67" s="68"/>
      <c r="K67" s="32"/>
      <c r="L67" s="75">
        <v>67</v>
      </c>
      <c r="M67" s="75"/>
      <c r="N67" s="70"/>
      <c r="O67" s="77" t="s">
        <v>179</v>
      </c>
      <c r="P67" s="79">
        <v>45070.192650462966</v>
      </c>
      <c r="Q67" s="77" t="s">
        <v>650</v>
      </c>
      <c r="R67" s="77">
        <v>0</v>
      </c>
      <c r="S67" s="77">
        <v>0</v>
      </c>
      <c r="T67" s="77">
        <v>0</v>
      </c>
      <c r="U67" s="77">
        <v>0</v>
      </c>
      <c r="V67" s="77">
        <v>7</v>
      </c>
      <c r="W67" s="82" t="s">
        <v>1598</v>
      </c>
      <c r="X67" s="80" t="str">
        <f>HYPERLINK("https://hotm.art/tbuzzturbinado")</f>
        <v>https://hotm.art/tbuzzturbinado</v>
      </c>
      <c r="Y67" s="77" t="s">
        <v>2135</v>
      </c>
      <c r="Z67" s="77"/>
      <c r="AA67" s="77" t="s">
        <v>2231</v>
      </c>
      <c r="AB67" s="77" t="s">
        <v>2714</v>
      </c>
      <c r="AC67" s="82" t="s">
        <v>2719</v>
      </c>
      <c r="AD67" s="77" t="s">
        <v>2752</v>
      </c>
      <c r="AE67" s="80" t="str">
        <f>HYPERLINK("https://twitter.com/pasidneysantos/status/1661229892157964288")</f>
        <v>https://twitter.com/pasidneysantos/status/1661229892157964288</v>
      </c>
      <c r="AF67" s="79">
        <v>45070.192650462966</v>
      </c>
      <c r="AG67" s="85">
        <v>45070</v>
      </c>
      <c r="AH67" s="82" t="s">
        <v>2824</v>
      </c>
      <c r="AI67" s="77" t="b">
        <v>0</v>
      </c>
      <c r="AJ67" s="77"/>
      <c r="AK67" s="77"/>
      <c r="AL67" s="77"/>
      <c r="AM67" s="77"/>
      <c r="AN67" s="77"/>
      <c r="AO67" s="77"/>
      <c r="AP67" s="77"/>
      <c r="AQ67" s="77" t="s">
        <v>3857</v>
      </c>
      <c r="AR67" s="77"/>
      <c r="AS67" s="77"/>
      <c r="AT67" s="77"/>
      <c r="AU67" s="77"/>
      <c r="AV67" s="80" t="str">
        <f>HYPERLINK("https://pbs.twimg.com/media/Fw3fyIOXwAEYzVy.jpg")</f>
        <v>https://pbs.twimg.com/media/Fw3fyIOXwAEYzVy.jpg</v>
      </c>
      <c r="AW67" s="82" t="s">
        <v>4401</v>
      </c>
      <c r="AX67" s="82" t="s">
        <v>4401</v>
      </c>
      <c r="AY67" s="77"/>
      <c r="AZ67" s="82" t="s">
        <v>5615</v>
      </c>
      <c r="BA67" s="82" t="s">
        <v>5615</v>
      </c>
      <c r="BB67" s="82" t="s">
        <v>5615</v>
      </c>
      <c r="BC67" s="82" t="s">
        <v>4401</v>
      </c>
      <c r="BD67" s="77">
        <v>76695494</v>
      </c>
      <c r="BE67" s="77"/>
      <c r="BF67" s="77"/>
      <c r="BG67" s="77"/>
      <c r="BH67" s="77"/>
      <c r="BI67" s="77"/>
    </row>
    <row r="68" spans="1:61" x14ac:dyDescent="0.25">
      <c r="A68" s="62" t="s">
        <v>266</v>
      </c>
      <c r="B68" s="62" t="s">
        <v>266</v>
      </c>
      <c r="C68" s="63"/>
      <c r="D68" s="64"/>
      <c r="E68" s="65"/>
      <c r="F68" s="66"/>
      <c r="G68" s="63"/>
      <c r="H68" s="67"/>
      <c r="I68" s="68"/>
      <c r="J68" s="68"/>
      <c r="K68" s="32"/>
      <c r="L68" s="75">
        <v>68</v>
      </c>
      <c r="M68" s="75"/>
      <c r="N68" s="70"/>
      <c r="O68" s="77" t="s">
        <v>179</v>
      </c>
      <c r="P68" s="79">
        <v>45029.881527777776</v>
      </c>
      <c r="Q68" s="77" t="s">
        <v>651</v>
      </c>
      <c r="R68" s="77">
        <v>0</v>
      </c>
      <c r="S68" s="77">
        <v>1</v>
      </c>
      <c r="T68" s="77">
        <v>0</v>
      </c>
      <c r="U68" s="77">
        <v>0</v>
      </c>
      <c r="V68" s="77">
        <v>20</v>
      </c>
      <c r="W68" s="82" t="s">
        <v>1599</v>
      </c>
      <c r="X68" s="80" t="str">
        <f>HYPERLINK("https://instagr.am/reel/Cq_Xs1loX3U/")</f>
        <v>https://instagr.am/reel/Cq_Xs1loX3U/</v>
      </c>
      <c r="Y68" s="77" t="s">
        <v>2136</v>
      </c>
      <c r="Z68" s="77"/>
      <c r="AA68" s="77" t="s">
        <v>2232</v>
      </c>
      <c r="AB68" s="77" t="s">
        <v>2714</v>
      </c>
      <c r="AC68" s="82" t="s">
        <v>2727</v>
      </c>
      <c r="AD68" s="77" t="s">
        <v>2752</v>
      </c>
      <c r="AE68" s="80" t="str">
        <f>HYPERLINK("https://twitter.com/_paulomedeiros/status/1646621633296183296")</f>
        <v>https://twitter.com/_paulomedeiros/status/1646621633296183296</v>
      </c>
      <c r="AF68" s="79">
        <v>45029.881527777776</v>
      </c>
      <c r="AG68" s="85">
        <v>45029</v>
      </c>
      <c r="AH68" s="82" t="s">
        <v>2825</v>
      </c>
      <c r="AI68" s="77" t="b">
        <v>0</v>
      </c>
      <c r="AJ68" s="77"/>
      <c r="AK68" s="77"/>
      <c r="AL68" s="77"/>
      <c r="AM68" s="77"/>
      <c r="AN68" s="77"/>
      <c r="AO68" s="77"/>
      <c r="AP68" s="77"/>
      <c r="AQ68" s="77" t="s">
        <v>3858</v>
      </c>
      <c r="AR68" s="77"/>
      <c r="AS68" s="77"/>
      <c r="AT68" s="77"/>
      <c r="AU68" s="77"/>
      <c r="AV68" s="80" t="str">
        <f>HYPERLINK("https://pbs.twimg.com/media/Ftn5pkmX0AEWXYg.jpg")</f>
        <v>https://pbs.twimg.com/media/Ftn5pkmX0AEWXYg.jpg</v>
      </c>
      <c r="AW68" s="82" t="s">
        <v>4402</v>
      </c>
      <c r="AX68" s="82" t="s">
        <v>4402</v>
      </c>
      <c r="AY68" s="77"/>
      <c r="AZ68" s="82" t="s">
        <v>5615</v>
      </c>
      <c r="BA68" s="82" t="s">
        <v>5615</v>
      </c>
      <c r="BB68" s="82" t="s">
        <v>5615</v>
      </c>
      <c r="BC68" s="82" t="s">
        <v>4402</v>
      </c>
      <c r="BD68" s="77">
        <v>337735931</v>
      </c>
      <c r="BE68" s="77"/>
      <c r="BF68" s="77"/>
      <c r="BG68" s="77"/>
      <c r="BH68" s="77"/>
      <c r="BI68" s="77"/>
    </row>
    <row r="69" spans="1:61" x14ac:dyDescent="0.25">
      <c r="A69" s="62" t="s">
        <v>267</v>
      </c>
      <c r="B69" s="62" t="s">
        <v>267</v>
      </c>
      <c r="C69" s="63"/>
      <c r="D69" s="64"/>
      <c r="E69" s="65"/>
      <c r="F69" s="66"/>
      <c r="G69" s="63"/>
      <c r="H69" s="67"/>
      <c r="I69" s="68"/>
      <c r="J69" s="68"/>
      <c r="K69" s="32"/>
      <c r="L69" s="75">
        <v>69</v>
      </c>
      <c r="M69" s="75"/>
      <c r="N69" s="70"/>
      <c r="O69" s="77" t="s">
        <v>179</v>
      </c>
      <c r="P69" s="79">
        <v>45067.600185185183</v>
      </c>
      <c r="Q69" s="77" t="s">
        <v>652</v>
      </c>
      <c r="R69" s="77">
        <v>5</v>
      </c>
      <c r="S69" s="77">
        <v>8</v>
      </c>
      <c r="T69" s="77">
        <v>0</v>
      </c>
      <c r="U69" s="77">
        <v>0</v>
      </c>
      <c r="V69" s="77">
        <v>125</v>
      </c>
      <c r="W69" s="82" t="s">
        <v>1600</v>
      </c>
      <c r="X69" s="77"/>
      <c r="Y69" s="77"/>
      <c r="Z69" s="77"/>
      <c r="AA69" s="77" t="s">
        <v>2233</v>
      </c>
      <c r="AB69" s="77" t="s">
        <v>2713</v>
      </c>
      <c r="AC69" s="82" t="s">
        <v>2722</v>
      </c>
      <c r="AD69" s="77" t="s">
        <v>2752</v>
      </c>
      <c r="AE69" s="80" t="str">
        <f>HYPERLINK("https://twitter.com/_erik_sb/status/1660290414434213889")</f>
        <v>https://twitter.com/_erik_sb/status/1660290414434213889</v>
      </c>
      <c r="AF69" s="79">
        <v>45067.600185185183</v>
      </c>
      <c r="AG69" s="85">
        <v>45067</v>
      </c>
      <c r="AH69" s="82" t="s">
        <v>2826</v>
      </c>
      <c r="AI69" s="77" t="b">
        <v>0</v>
      </c>
      <c r="AJ69" s="77"/>
      <c r="AK69" s="77"/>
      <c r="AL69" s="77"/>
      <c r="AM69" s="77"/>
      <c r="AN69" s="77"/>
      <c r="AO69" s="77"/>
      <c r="AP69" s="77"/>
      <c r="AQ69" s="77" t="s">
        <v>3859</v>
      </c>
      <c r="AR69" s="77">
        <v>18100</v>
      </c>
      <c r="AS69" s="77"/>
      <c r="AT69" s="77"/>
      <c r="AU69" s="77"/>
      <c r="AV69" s="80" t="str">
        <f>HYPERLINK("https://pbs.twimg.com/ext_tw_video_thumb/1660290056618221569/pu/img/zUoNvg7YVLz5SYdQ.jpg")</f>
        <v>https://pbs.twimg.com/ext_tw_video_thumb/1660290056618221569/pu/img/zUoNvg7YVLz5SYdQ.jpg</v>
      </c>
      <c r="AW69" s="82" t="s">
        <v>4403</v>
      </c>
      <c r="AX69" s="82" t="s">
        <v>4403</v>
      </c>
      <c r="AY69" s="77"/>
      <c r="AZ69" s="82" t="s">
        <v>5615</v>
      </c>
      <c r="BA69" s="82" t="s">
        <v>5615</v>
      </c>
      <c r="BB69" s="82" t="s">
        <v>5615</v>
      </c>
      <c r="BC69" s="82" t="s">
        <v>4403</v>
      </c>
      <c r="BD69" s="82" t="s">
        <v>5884</v>
      </c>
      <c r="BE69" s="77"/>
      <c r="BF69" s="77"/>
      <c r="BG69" s="77"/>
      <c r="BH69" s="77"/>
      <c r="BI69" s="77"/>
    </row>
    <row r="70" spans="1:61" x14ac:dyDescent="0.25">
      <c r="A70" s="62" t="s">
        <v>268</v>
      </c>
      <c r="B70" s="62" t="s">
        <v>268</v>
      </c>
      <c r="C70" s="63"/>
      <c r="D70" s="64"/>
      <c r="E70" s="65"/>
      <c r="F70" s="66"/>
      <c r="G70" s="63"/>
      <c r="H70" s="67"/>
      <c r="I70" s="68"/>
      <c r="J70" s="68"/>
      <c r="K70" s="32"/>
      <c r="L70" s="75">
        <v>70</v>
      </c>
      <c r="M70" s="75"/>
      <c r="N70" s="70"/>
      <c r="O70" s="77" t="s">
        <v>179</v>
      </c>
      <c r="P70" s="79">
        <v>44966.649375000001</v>
      </c>
      <c r="Q70" s="77" t="s">
        <v>653</v>
      </c>
      <c r="R70" s="77">
        <v>0</v>
      </c>
      <c r="S70" s="77">
        <v>0</v>
      </c>
      <c r="T70" s="77">
        <v>0</v>
      </c>
      <c r="U70" s="77">
        <v>0</v>
      </c>
      <c r="V70" s="77">
        <v>15</v>
      </c>
      <c r="W70" s="82" t="s">
        <v>1601</v>
      </c>
      <c r="X70" s="77"/>
      <c r="Y70" s="77"/>
      <c r="Z70" s="77"/>
      <c r="AA70" s="77" t="s">
        <v>2234</v>
      </c>
      <c r="AB70" s="77" t="s">
        <v>2713</v>
      </c>
      <c r="AC70" s="82" t="s">
        <v>2719</v>
      </c>
      <c r="AD70" s="77" t="s">
        <v>2752</v>
      </c>
      <c r="AE70" s="80" t="str">
        <f>HYPERLINK("https://twitter.com/seutempoemrenda/status/1623707069160226816")</f>
        <v>https://twitter.com/seutempoemrenda/status/1623707069160226816</v>
      </c>
      <c r="AF70" s="79">
        <v>44966.649375000001</v>
      </c>
      <c r="AG70" s="85">
        <v>44966</v>
      </c>
      <c r="AH70" s="82" t="s">
        <v>2827</v>
      </c>
      <c r="AI70" s="77" t="b">
        <v>0</v>
      </c>
      <c r="AJ70" s="77"/>
      <c r="AK70" s="77"/>
      <c r="AL70" s="77"/>
      <c r="AM70" s="77"/>
      <c r="AN70" s="77"/>
      <c r="AO70" s="77"/>
      <c r="AP70" s="77"/>
      <c r="AQ70" s="77" t="s">
        <v>3860</v>
      </c>
      <c r="AR70" s="77">
        <v>21013</v>
      </c>
      <c r="AS70" s="77"/>
      <c r="AT70" s="77"/>
      <c r="AU70" s="77"/>
      <c r="AV70" s="80" t="str">
        <f>HYPERLINK("https://pbs.twimg.com/ext_tw_video_thumb/1623707035714846721/pu/img/-7hlB10T9Cx_tbl_.jpg")</f>
        <v>https://pbs.twimg.com/ext_tw_video_thumb/1623707035714846721/pu/img/-7hlB10T9Cx_tbl_.jpg</v>
      </c>
      <c r="AW70" s="82" t="s">
        <v>4404</v>
      </c>
      <c r="AX70" s="82" t="s">
        <v>4404</v>
      </c>
      <c r="AY70" s="77"/>
      <c r="AZ70" s="82" t="s">
        <v>5615</v>
      </c>
      <c r="BA70" s="82" t="s">
        <v>5615</v>
      </c>
      <c r="BB70" s="82" t="s">
        <v>5615</v>
      </c>
      <c r="BC70" s="82" t="s">
        <v>4404</v>
      </c>
      <c r="BD70" s="82" t="s">
        <v>5885</v>
      </c>
      <c r="BE70" s="77"/>
      <c r="BF70" s="77"/>
      <c r="BG70" s="77"/>
      <c r="BH70" s="77"/>
      <c r="BI70" s="77"/>
    </row>
    <row r="71" spans="1:61" x14ac:dyDescent="0.25">
      <c r="A71" s="62" t="s">
        <v>269</v>
      </c>
      <c r="B71" s="62" t="s">
        <v>269</v>
      </c>
      <c r="C71" s="63"/>
      <c r="D71" s="64"/>
      <c r="E71" s="65"/>
      <c r="F71" s="66"/>
      <c r="G71" s="63"/>
      <c r="H71" s="67"/>
      <c r="I71" s="68"/>
      <c r="J71" s="68"/>
      <c r="K71" s="32"/>
      <c r="L71" s="75">
        <v>71</v>
      </c>
      <c r="M71" s="75"/>
      <c r="N71" s="70"/>
      <c r="O71" s="77" t="s">
        <v>179</v>
      </c>
      <c r="P71" s="79">
        <v>44963.752071759256</v>
      </c>
      <c r="Q71" s="77" t="s">
        <v>654</v>
      </c>
      <c r="R71" s="77">
        <v>0</v>
      </c>
      <c r="S71" s="77">
        <v>0</v>
      </c>
      <c r="T71" s="77">
        <v>0</v>
      </c>
      <c r="U71" s="77">
        <v>0</v>
      </c>
      <c r="V71" s="77">
        <v>17</v>
      </c>
      <c r="W71" s="82" t="s">
        <v>1602</v>
      </c>
      <c r="X71" s="77"/>
      <c r="Y71" s="77"/>
      <c r="Z71" s="77"/>
      <c r="AA71" s="77"/>
      <c r="AB71" s="77"/>
      <c r="AC71" s="82" t="s">
        <v>2719</v>
      </c>
      <c r="AD71" s="77" t="s">
        <v>2752</v>
      </c>
      <c r="AE71" s="80" t="str">
        <f>HYPERLINK("https://twitter.com/e_comprar/status/1622657117982171136")</f>
        <v>https://twitter.com/e_comprar/status/1622657117982171136</v>
      </c>
      <c r="AF71" s="79">
        <v>44963.752071759256</v>
      </c>
      <c r="AG71" s="85">
        <v>44963</v>
      </c>
      <c r="AH71" s="82" t="s">
        <v>2828</v>
      </c>
      <c r="AI71" s="77"/>
      <c r="AJ71" s="77"/>
      <c r="AK71" s="77"/>
      <c r="AL71" s="77"/>
      <c r="AM71" s="77"/>
      <c r="AN71" s="77"/>
      <c r="AO71" s="77"/>
      <c r="AP71" s="77"/>
      <c r="AQ71" s="77"/>
      <c r="AR71" s="77"/>
      <c r="AS71" s="77"/>
      <c r="AT71" s="77"/>
      <c r="AU71" s="77"/>
      <c r="AV71" s="80" t="str">
        <f>HYPERLINK("https://pbs.twimg.com/profile_images/1493794064512208896/zcRnir6__normal.jpg")</f>
        <v>https://pbs.twimg.com/profile_images/1493794064512208896/zcRnir6__normal.jpg</v>
      </c>
      <c r="AW71" s="82" t="s">
        <v>4405</v>
      </c>
      <c r="AX71" s="82" t="s">
        <v>4405</v>
      </c>
      <c r="AY71" s="77"/>
      <c r="AZ71" s="82" t="s">
        <v>5615</v>
      </c>
      <c r="BA71" s="82" t="s">
        <v>5615</v>
      </c>
      <c r="BB71" s="82" t="s">
        <v>5615</v>
      </c>
      <c r="BC71" s="82" t="s">
        <v>4405</v>
      </c>
      <c r="BD71" s="82" t="s">
        <v>5886</v>
      </c>
      <c r="BE71" s="77"/>
      <c r="BF71" s="77"/>
      <c r="BG71" s="77"/>
      <c r="BH71" s="77"/>
      <c r="BI71" s="77"/>
    </row>
    <row r="72" spans="1:61" x14ac:dyDescent="0.25">
      <c r="A72" s="62" t="s">
        <v>270</v>
      </c>
      <c r="B72" s="62" t="s">
        <v>270</v>
      </c>
      <c r="C72" s="63"/>
      <c r="D72" s="64"/>
      <c r="E72" s="65"/>
      <c r="F72" s="66"/>
      <c r="G72" s="63"/>
      <c r="H72" s="67"/>
      <c r="I72" s="68"/>
      <c r="J72" s="68"/>
      <c r="K72" s="32"/>
      <c r="L72" s="75">
        <v>72</v>
      </c>
      <c r="M72" s="75"/>
      <c r="N72" s="70"/>
      <c r="O72" s="77" t="s">
        <v>179</v>
      </c>
      <c r="P72" s="79">
        <v>45162.392361111109</v>
      </c>
      <c r="Q72" s="77" t="s">
        <v>655</v>
      </c>
      <c r="R72" s="77">
        <v>1</v>
      </c>
      <c r="S72" s="77">
        <v>9</v>
      </c>
      <c r="T72" s="77">
        <v>0</v>
      </c>
      <c r="U72" s="77">
        <v>0</v>
      </c>
      <c r="V72" s="77">
        <v>211</v>
      </c>
      <c r="W72" s="82" t="s">
        <v>1603</v>
      </c>
      <c r="X72" s="77"/>
      <c r="Y72" s="77"/>
      <c r="Z72" s="77"/>
      <c r="AA72" s="77"/>
      <c r="AB72" s="77"/>
      <c r="AC72" s="82" t="s">
        <v>2722</v>
      </c>
      <c r="AD72" s="77" t="s">
        <v>2752</v>
      </c>
      <c r="AE72" s="80" t="str">
        <f>HYPERLINK("https://twitter.com/conservadora191/status/1694641949058187775")</f>
        <v>https://twitter.com/conservadora191/status/1694641949058187775</v>
      </c>
      <c r="AF72" s="79">
        <v>45162.392361111109</v>
      </c>
      <c r="AG72" s="85">
        <v>45162</v>
      </c>
      <c r="AH72" s="82" t="s">
        <v>2829</v>
      </c>
      <c r="AI72" s="77"/>
      <c r="AJ72" s="77"/>
      <c r="AK72" s="77"/>
      <c r="AL72" s="77"/>
      <c r="AM72" s="77"/>
      <c r="AN72" s="77"/>
      <c r="AO72" s="77"/>
      <c r="AP72" s="77"/>
      <c r="AQ72" s="77"/>
      <c r="AR72" s="77"/>
      <c r="AS72" s="77"/>
      <c r="AT72" s="77"/>
      <c r="AU72" s="77"/>
      <c r="AV72" s="80" t="str">
        <f>HYPERLINK("https://pbs.twimg.com/profile_images/1653870955889041409/4b9dB7eB_normal.jpg")</f>
        <v>https://pbs.twimg.com/profile_images/1653870955889041409/4b9dB7eB_normal.jpg</v>
      </c>
      <c r="AW72" s="82" t="s">
        <v>4406</v>
      </c>
      <c r="AX72" s="82" t="s">
        <v>4406</v>
      </c>
      <c r="AY72" s="77"/>
      <c r="AZ72" s="82" t="s">
        <v>5615</v>
      </c>
      <c r="BA72" s="82" t="s">
        <v>5615</v>
      </c>
      <c r="BB72" s="82" t="s">
        <v>5615</v>
      </c>
      <c r="BC72" s="82" t="s">
        <v>4406</v>
      </c>
      <c r="BD72" s="82" t="s">
        <v>5887</v>
      </c>
      <c r="BE72" s="77"/>
      <c r="BF72" s="77"/>
      <c r="BG72" s="77"/>
      <c r="BH72" s="77"/>
      <c r="BI72" s="77"/>
    </row>
    <row r="73" spans="1:61" x14ac:dyDescent="0.25">
      <c r="A73" s="62" t="s">
        <v>271</v>
      </c>
      <c r="B73" s="62" t="s">
        <v>271</v>
      </c>
      <c r="C73" s="63"/>
      <c r="D73" s="64"/>
      <c r="E73" s="65"/>
      <c r="F73" s="66"/>
      <c r="G73" s="63"/>
      <c r="H73" s="67"/>
      <c r="I73" s="68"/>
      <c r="J73" s="68"/>
      <c r="K73" s="32"/>
      <c r="L73" s="75">
        <v>73</v>
      </c>
      <c r="M73" s="75"/>
      <c r="N73" s="70"/>
      <c r="O73" s="77" t="s">
        <v>583</v>
      </c>
      <c r="P73" s="79">
        <v>45157.74019675926</v>
      </c>
      <c r="Q73" s="77" t="s">
        <v>656</v>
      </c>
      <c r="R73" s="77">
        <v>0</v>
      </c>
      <c r="S73" s="77">
        <v>0</v>
      </c>
      <c r="T73" s="77">
        <v>0</v>
      </c>
      <c r="U73" s="77">
        <v>0</v>
      </c>
      <c r="V73" s="77">
        <v>35</v>
      </c>
      <c r="W73" s="82" t="s">
        <v>1604</v>
      </c>
      <c r="X73" s="77"/>
      <c r="Y73" s="77"/>
      <c r="Z73" s="77"/>
      <c r="AA73" s="77"/>
      <c r="AB73" s="77"/>
      <c r="AC73" s="82" t="s">
        <v>2722</v>
      </c>
      <c r="AD73" s="77" t="s">
        <v>2756</v>
      </c>
      <c r="AE73" s="80" t="str">
        <f>HYPERLINK("https://twitter.com/borafalardguito/status/1692956063509708964")</f>
        <v>https://twitter.com/borafalardguito/status/1692956063509708964</v>
      </c>
      <c r="AF73" s="79">
        <v>45157.74019675926</v>
      </c>
      <c r="AG73" s="85">
        <v>45157</v>
      </c>
      <c r="AH73" s="82" t="s">
        <v>2830</v>
      </c>
      <c r="AI73" s="77"/>
      <c r="AJ73" s="77"/>
      <c r="AK73" s="77"/>
      <c r="AL73" s="77"/>
      <c r="AM73" s="77"/>
      <c r="AN73" s="77"/>
      <c r="AO73" s="77"/>
      <c r="AP73" s="77"/>
      <c r="AQ73" s="77"/>
      <c r="AR73" s="77"/>
      <c r="AS73" s="77"/>
      <c r="AT73" s="77"/>
      <c r="AU73" s="77"/>
      <c r="AV73" s="80" t="str">
        <f>HYPERLINK("https://pbs.twimg.com/profile_images/1335657066116096003/WWv9SrEq_normal.jpg")</f>
        <v>https://pbs.twimg.com/profile_images/1335657066116096003/WWv9SrEq_normal.jpg</v>
      </c>
      <c r="AW73" s="82" t="s">
        <v>4407</v>
      </c>
      <c r="AX73" s="82" t="s">
        <v>5328</v>
      </c>
      <c r="AY73" s="82" t="s">
        <v>5580</v>
      </c>
      <c r="AZ73" s="82" t="s">
        <v>5328</v>
      </c>
      <c r="BA73" s="82" t="s">
        <v>5615</v>
      </c>
      <c r="BB73" s="82" t="s">
        <v>5615</v>
      </c>
      <c r="BC73" s="82" t="s">
        <v>5328</v>
      </c>
      <c r="BD73" s="82" t="s">
        <v>5580</v>
      </c>
      <c r="BE73" s="77"/>
      <c r="BF73" s="77"/>
      <c r="BG73" s="77"/>
      <c r="BH73" s="77"/>
      <c r="BI73" s="77"/>
    </row>
    <row r="74" spans="1:61" x14ac:dyDescent="0.25">
      <c r="A74" s="62" t="s">
        <v>272</v>
      </c>
      <c r="B74" s="62" t="s">
        <v>272</v>
      </c>
      <c r="C74" s="63"/>
      <c r="D74" s="64"/>
      <c r="E74" s="65"/>
      <c r="F74" s="66"/>
      <c r="G74" s="63"/>
      <c r="H74" s="67"/>
      <c r="I74" s="68"/>
      <c r="J74" s="68"/>
      <c r="K74" s="32"/>
      <c r="L74" s="75">
        <v>74</v>
      </c>
      <c r="M74" s="75"/>
      <c r="N74" s="70"/>
      <c r="O74" s="77" t="s">
        <v>179</v>
      </c>
      <c r="P74" s="79">
        <v>44964.681979166664</v>
      </c>
      <c r="Q74" s="77" t="s">
        <v>657</v>
      </c>
      <c r="R74" s="77">
        <v>0</v>
      </c>
      <c r="S74" s="77">
        <v>3</v>
      </c>
      <c r="T74" s="77">
        <v>2</v>
      </c>
      <c r="U74" s="77">
        <v>0</v>
      </c>
      <c r="V74" s="77">
        <v>244</v>
      </c>
      <c r="W74" s="82" t="s">
        <v>1605</v>
      </c>
      <c r="X74" s="77" t="s">
        <v>2120</v>
      </c>
      <c r="Y74" s="77" t="s">
        <v>2137</v>
      </c>
      <c r="Z74" s="77"/>
      <c r="AA74" s="77" t="s">
        <v>2235</v>
      </c>
      <c r="AB74" s="77" t="s">
        <v>2714</v>
      </c>
      <c r="AC74" s="82" t="s">
        <v>2719</v>
      </c>
      <c r="AD74" s="77" t="s">
        <v>2752</v>
      </c>
      <c r="AE74" s="80" t="str">
        <f>HYPERLINK("https://twitter.com/weweglob/status/1622994106745061376")</f>
        <v>https://twitter.com/weweglob/status/1622994106745061376</v>
      </c>
      <c r="AF74" s="79">
        <v>44964.681979166664</v>
      </c>
      <c r="AG74" s="85">
        <v>44964</v>
      </c>
      <c r="AH74" s="82" t="s">
        <v>2831</v>
      </c>
      <c r="AI74" s="77" t="b">
        <v>0</v>
      </c>
      <c r="AJ74" s="77"/>
      <c r="AK74" s="77"/>
      <c r="AL74" s="77"/>
      <c r="AM74" s="77"/>
      <c r="AN74" s="77"/>
      <c r="AO74" s="77"/>
      <c r="AP74" s="77"/>
      <c r="AQ74" s="77" t="s">
        <v>3861</v>
      </c>
      <c r="AR74" s="77"/>
      <c r="AS74" s="77"/>
      <c r="AT74" s="77"/>
      <c r="AU74" s="77"/>
      <c r="AV74" s="80" t="str">
        <f>HYPERLINK("https://pbs.twimg.com/media/FoYIiaaXsBEDskD.jpg")</f>
        <v>https://pbs.twimg.com/media/FoYIiaaXsBEDskD.jpg</v>
      </c>
      <c r="AW74" s="82" t="s">
        <v>4408</v>
      </c>
      <c r="AX74" s="82" t="s">
        <v>4408</v>
      </c>
      <c r="AY74" s="77"/>
      <c r="AZ74" s="82" t="s">
        <v>5615</v>
      </c>
      <c r="BA74" s="82" t="s">
        <v>5615</v>
      </c>
      <c r="BB74" s="82" t="s">
        <v>5615</v>
      </c>
      <c r="BC74" s="82" t="s">
        <v>4408</v>
      </c>
      <c r="BD74" s="82" t="s">
        <v>5888</v>
      </c>
      <c r="BE74" s="77"/>
      <c r="BF74" s="77"/>
      <c r="BG74" s="77"/>
      <c r="BH74" s="77"/>
      <c r="BI74" s="77"/>
    </row>
    <row r="75" spans="1:61" x14ac:dyDescent="0.25">
      <c r="A75" s="62" t="s">
        <v>273</v>
      </c>
      <c r="B75" s="62" t="s">
        <v>273</v>
      </c>
      <c r="C75" s="63"/>
      <c r="D75" s="64"/>
      <c r="E75" s="65"/>
      <c r="F75" s="66"/>
      <c r="G75" s="63"/>
      <c r="H75" s="67"/>
      <c r="I75" s="68"/>
      <c r="J75" s="68"/>
      <c r="K75" s="32"/>
      <c r="L75" s="75">
        <v>75</v>
      </c>
      <c r="M75" s="75"/>
      <c r="N75" s="70"/>
      <c r="O75" s="77" t="s">
        <v>179</v>
      </c>
      <c r="P75" s="79">
        <v>45154.004745370374</v>
      </c>
      <c r="Q75" s="77" t="s">
        <v>658</v>
      </c>
      <c r="R75" s="77">
        <v>0</v>
      </c>
      <c r="S75" s="77">
        <v>0</v>
      </c>
      <c r="T75" s="77">
        <v>0</v>
      </c>
      <c r="U75" s="77">
        <v>0</v>
      </c>
      <c r="V75" s="77">
        <v>11</v>
      </c>
      <c r="W75" s="82" t="s">
        <v>1606</v>
      </c>
      <c r="X75" s="77"/>
      <c r="Y75" s="77"/>
      <c r="Z75" s="77"/>
      <c r="AA75" s="77" t="s">
        <v>2236</v>
      </c>
      <c r="AB75" s="77" t="s">
        <v>2714</v>
      </c>
      <c r="AC75" s="82" t="s">
        <v>2719</v>
      </c>
      <c r="AD75" s="77" t="s">
        <v>2757</v>
      </c>
      <c r="AE75" s="80" t="str">
        <f>HYPERLINK("https://twitter.com/dracma316789/status/1691602378816913435")</f>
        <v>https://twitter.com/dracma316789/status/1691602378816913435</v>
      </c>
      <c r="AF75" s="79">
        <v>45154.004745370374</v>
      </c>
      <c r="AG75" s="85">
        <v>45154</v>
      </c>
      <c r="AH75" s="82" t="s">
        <v>2832</v>
      </c>
      <c r="AI75" s="77" t="b">
        <v>0</v>
      </c>
      <c r="AJ75" s="77"/>
      <c r="AK75" s="77"/>
      <c r="AL75" s="77"/>
      <c r="AM75" s="77"/>
      <c r="AN75" s="77"/>
      <c r="AO75" s="77"/>
      <c r="AP75" s="77"/>
      <c r="AQ75" s="77" t="s">
        <v>3862</v>
      </c>
      <c r="AR75" s="77"/>
      <c r="AS75" s="77"/>
      <c r="AT75" s="77"/>
      <c r="AU75" s="77"/>
      <c r="AV75" s="80" t="str">
        <f>HYPERLINK("https://pbs.twimg.com/media/F3nHZklW8AAJyfI.jpg")</f>
        <v>https://pbs.twimg.com/media/F3nHZklW8AAJyfI.jpg</v>
      </c>
      <c r="AW75" s="82" t="s">
        <v>4409</v>
      </c>
      <c r="AX75" s="82" t="s">
        <v>4409</v>
      </c>
      <c r="AY75" s="77"/>
      <c r="AZ75" s="82" t="s">
        <v>5615</v>
      </c>
      <c r="BA75" s="82" t="s">
        <v>5615</v>
      </c>
      <c r="BB75" s="82" t="s">
        <v>5615</v>
      </c>
      <c r="BC75" s="82" t="s">
        <v>4409</v>
      </c>
      <c r="BD75" s="82" t="s">
        <v>5889</v>
      </c>
      <c r="BE75" s="77"/>
      <c r="BF75" s="77"/>
      <c r="BG75" s="77"/>
      <c r="BH75" s="77"/>
      <c r="BI75" s="77"/>
    </row>
    <row r="76" spans="1:61" x14ac:dyDescent="0.25">
      <c r="A76" s="62" t="s">
        <v>273</v>
      </c>
      <c r="B76" s="62" t="s">
        <v>273</v>
      </c>
      <c r="C76" s="63"/>
      <c r="D76" s="64"/>
      <c r="E76" s="65"/>
      <c r="F76" s="66"/>
      <c r="G76" s="63"/>
      <c r="H76" s="67"/>
      <c r="I76" s="68"/>
      <c r="J76" s="68"/>
      <c r="K76" s="32"/>
      <c r="L76" s="75">
        <v>76</v>
      </c>
      <c r="M76" s="75"/>
      <c r="N76" s="70"/>
      <c r="O76" s="77" t="s">
        <v>179</v>
      </c>
      <c r="P76" s="79">
        <v>45154.003900462965</v>
      </c>
      <c r="Q76" s="77" t="s">
        <v>659</v>
      </c>
      <c r="R76" s="77">
        <v>0</v>
      </c>
      <c r="S76" s="77">
        <v>0</v>
      </c>
      <c r="T76" s="77">
        <v>0</v>
      </c>
      <c r="U76" s="77">
        <v>0</v>
      </c>
      <c r="V76" s="77">
        <v>9</v>
      </c>
      <c r="W76" s="82" t="s">
        <v>1606</v>
      </c>
      <c r="X76" s="77"/>
      <c r="Y76" s="77"/>
      <c r="Z76" s="77"/>
      <c r="AA76" s="77" t="s">
        <v>2237</v>
      </c>
      <c r="AB76" s="77" t="s">
        <v>2714</v>
      </c>
      <c r="AC76" s="82" t="s">
        <v>2719</v>
      </c>
      <c r="AD76" s="77" t="s">
        <v>2758</v>
      </c>
      <c r="AE76" s="80" t="str">
        <f>HYPERLINK("https://twitter.com/dracma316789/status/1691602071865135486")</f>
        <v>https://twitter.com/dracma316789/status/1691602071865135486</v>
      </c>
      <c r="AF76" s="79">
        <v>45154.003900462965</v>
      </c>
      <c r="AG76" s="85">
        <v>45154</v>
      </c>
      <c r="AH76" s="82" t="s">
        <v>2833</v>
      </c>
      <c r="AI76" s="77" t="b">
        <v>0</v>
      </c>
      <c r="AJ76" s="77"/>
      <c r="AK76" s="77"/>
      <c r="AL76" s="77"/>
      <c r="AM76" s="77"/>
      <c r="AN76" s="77"/>
      <c r="AO76" s="77"/>
      <c r="AP76" s="77"/>
      <c r="AQ76" s="77" t="s">
        <v>3863</v>
      </c>
      <c r="AR76" s="77"/>
      <c r="AS76" s="77"/>
      <c r="AT76" s="77"/>
      <c r="AU76" s="77"/>
      <c r="AV76" s="80" t="str">
        <f>HYPERLINK("https://pbs.twimg.com/media/F3nHHsdW8AAcky-.jpg")</f>
        <v>https://pbs.twimg.com/media/F3nHHsdW8AAcky-.jpg</v>
      </c>
      <c r="AW76" s="82" t="s">
        <v>4410</v>
      </c>
      <c r="AX76" s="82" t="s">
        <v>4410</v>
      </c>
      <c r="AY76" s="77"/>
      <c r="AZ76" s="82" t="s">
        <v>5615</v>
      </c>
      <c r="BA76" s="82" t="s">
        <v>5615</v>
      </c>
      <c r="BB76" s="82" t="s">
        <v>5615</v>
      </c>
      <c r="BC76" s="82" t="s">
        <v>4410</v>
      </c>
      <c r="BD76" s="82" t="s">
        <v>5889</v>
      </c>
      <c r="BE76" s="77"/>
      <c r="BF76" s="77"/>
      <c r="BG76" s="77"/>
      <c r="BH76" s="77"/>
      <c r="BI76" s="77"/>
    </row>
    <row r="77" spans="1:61" x14ac:dyDescent="0.25">
      <c r="A77" s="62" t="s">
        <v>273</v>
      </c>
      <c r="B77" s="62" t="s">
        <v>273</v>
      </c>
      <c r="C77" s="63"/>
      <c r="D77" s="64"/>
      <c r="E77" s="65"/>
      <c r="F77" s="66"/>
      <c r="G77" s="63"/>
      <c r="H77" s="67"/>
      <c r="I77" s="68"/>
      <c r="J77" s="68"/>
      <c r="K77" s="32"/>
      <c r="L77" s="75">
        <v>77</v>
      </c>
      <c r="M77" s="75"/>
      <c r="N77" s="70"/>
      <c r="O77" s="77" t="s">
        <v>179</v>
      </c>
      <c r="P77" s="79">
        <v>45153.175752314812</v>
      </c>
      <c r="Q77" s="77" t="s">
        <v>660</v>
      </c>
      <c r="R77" s="77">
        <v>0</v>
      </c>
      <c r="S77" s="77">
        <v>0</v>
      </c>
      <c r="T77" s="77">
        <v>0</v>
      </c>
      <c r="U77" s="77">
        <v>0</v>
      </c>
      <c r="V77" s="77">
        <v>13</v>
      </c>
      <c r="W77" s="82" t="s">
        <v>1606</v>
      </c>
      <c r="X77" s="77"/>
      <c r="Y77" s="77"/>
      <c r="Z77" s="77"/>
      <c r="AA77" s="77" t="s">
        <v>2238</v>
      </c>
      <c r="AB77" s="77" t="s">
        <v>2713</v>
      </c>
      <c r="AC77" s="82" t="s">
        <v>2719</v>
      </c>
      <c r="AD77" s="77" t="s">
        <v>2758</v>
      </c>
      <c r="AE77" s="80" t="str">
        <f>HYPERLINK("https://twitter.com/dracma316789/status/1691301964804509697")</f>
        <v>https://twitter.com/dracma316789/status/1691301964804509697</v>
      </c>
      <c r="AF77" s="79">
        <v>45153.175752314812</v>
      </c>
      <c r="AG77" s="85">
        <v>45153</v>
      </c>
      <c r="AH77" s="82" t="s">
        <v>2834</v>
      </c>
      <c r="AI77" s="77" t="b">
        <v>0</v>
      </c>
      <c r="AJ77" s="77"/>
      <c r="AK77" s="77"/>
      <c r="AL77" s="77"/>
      <c r="AM77" s="77"/>
      <c r="AN77" s="77"/>
      <c r="AO77" s="77"/>
      <c r="AP77" s="77"/>
      <c r="AQ77" s="77" t="s">
        <v>3864</v>
      </c>
      <c r="AR77" s="77">
        <v>3000</v>
      </c>
      <c r="AS77" s="77"/>
      <c r="AT77" s="77"/>
      <c r="AU77" s="77"/>
      <c r="AV77" s="80" t="str">
        <f>HYPERLINK("https://pbs.twimg.com/ext_tw_video_thumb/1691301955577040896/pu/img/MyyApOfI1HZ6vqmE.jpg")</f>
        <v>https://pbs.twimg.com/ext_tw_video_thumb/1691301955577040896/pu/img/MyyApOfI1HZ6vqmE.jpg</v>
      </c>
      <c r="AW77" s="82" t="s">
        <v>4411</v>
      </c>
      <c r="AX77" s="82" t="s">
        <v>4411</v>
      </c>
      <c r="AY77" s="77"/>
      <c r="AZ77" s="82" t="s">
        <v>5615</v>
      </c>
      <c r="BA77" s="82" t="s">
        <v>5615</v>
      </c>
      <c r="BB77" s="82" t="s">
        <v>5615</v>
      </c>
      <c r="BC77" s="82" t="s">
        <v>4411</v>
      </c>
      <c r="BD77" s="82" t="s">
        <v>5889</v>
      </c>
      <c r="BE77" s="77"/>
      <c r="BF77" s="77"/>
      <c r="BG77" s="77"/>
      <c r="BH77" s="77"/>
      <c r="BI77" s="77"/>
    </row>
    <row r="78" spans="1:61" x14ac:dyDescent="0.25">
      <c r="A78" s="62" t="s">
        <v>274</v>
      </c>
      <c r="B78" s="62" t="s">
        <v>274</v>
      </c>
      <c r="C78" s="63"/>
      <c r="D78" s="64"/>
      <c r="E78" s="65"/>
      <c r="F78" s="66"/>
      <c r="G78" s="63"/>
      <c r="H78" s="67"/>
      <c r="I78" s="68"/>
      <c r="J78" s="68"/>
      <c r="K78" s="32"/>
      <c r="L78" s="75">
        <v>78</v>
      </c>
      <c r="M78" s="75"/>
      <c r="N78" s="70"/>
      <c r="O78" s="77" t="s">
        <v>179</v>
      </c>
      <c r="P78" s="79">
        <v>45175.445833333331</v>
      </c>
      <c r="Q78" s="77" t="s">
        <v>661</v>
      </c>
      <c r="R78" s="77">
        <v>0</v>
      </c>
      <c r="S78" s="77">
        <v>0</v>
      </c>
      <c r="T78" s="77">
        <v>0</v>
      </c>
      <c r="U78" s="77">
        <v>0</v>
      </c>
      <c r="V78" s="77">
        <v>54</v>
      </c>
      <c r="W78" s="82" t="s">
        <v>1607</v>
      </c>
      <c r="X78" s="77"/>
      <c r="Y78" s="77"/>
      <c r="Z78" s="77"/>
      <c r="AA78" s="77"/>
      <c r="AB78" s="77"/>
      <c r="AC78" s="82" t="s">
        <v>2722</v>
      </c>
      <c r="AD78" s="77" t="s">
        <v>2752</v>
      </c>
      <c r="AE78" s="80" t="str">
        <f>HYPERLINK("https://twitter.com/rodrigosrp4/status/1699372370476073390")</f>
        <v>https://twitter.com/rodrigosrp4/status/1699372370476073390</v>
      </c>
      <c r="AF78" s="79">
        <v>45175.445833333331</v>
      </c>
      <c r="AG78" s="85">
        <v>45175</v>
      </c>
      <c r="AH78" s="82" t="s">
        <v>2835</v>
      </c>
      <c r="AI78" s="77"/>
      <c r="AJ78" s="77"/>
      <c r="AK78" s="77"/>
      <c r="AL78" s="77"/>
      <c r="AM78" s="77"/>
      <c r="AN78" s="77"/>
      <c r="AO78" s="77"/>
      <c r="AP78" s="77"/>
      <c r="AQ78" s="77"/>
      <c r="AR78" s="77"/>
      <c r="AS78" s="77"/>
      <c r="AT78" s="77"/>
      <c r="AU78" s="77"/>
      <c r="AV78" s="80" t="str">
        <f>HYPERLINK("https://pbs.twimg.com/profile_images/1680413141245612036/8M3SnOn-_normal.jpg")</f>
        <v>https://pbs.twimg.com/profile_images/1680413141245612036/8M3SnOn-_normal.jpg</v>
      </c>
      <c r="AW78" s="82" t="s">
        <v>4412</v>
      </c>
      <c r="AX78" s="82" t="s">
        <v>4412</v>
      </c>
      <c r="AY78" s="77"/>
      <c r="AZ78" s="82" t="s">
        <v>5615</v>
      </c>
      <c r="BA78" s="82" t="s">
        <v>5615</v>
      </c>
      <c r="BB78" s="82" t="s">
        <v>5615</v>
      </c>
      <c r="BC78" s="82" t="s">
        <v>4412</v>
      </c>
      <c r="BD78" s="77">
        <v>64904940</v>
      </c>
      <c r="BE78" s="77"/>
      <c r="BF78" s="77"/>
      <c r="BG78" s="77"/>
      <c r="BH78" s="77"/>
      <c r="BI78" s="77"/>
    </row>
    <row r="79" spans="1:61" x14ac:dyDescent="0.25">
      <c r="A79" s="62" t="s">
        <v>275</v>
      </c>
      <c r="B79" s="62" t="s">
        <v>275</v>
      </c>
      <c r="C79" s="63"/>
      <c r="D79" s="64"/>
      <c r="E79" s="65"/>
      <c r="F79" s="66"/>
      <c r="G79" s="63"/>
      <c r="H79" s="67"/>
      <c r="I79" s="68"/>
      <c r="J79" s="68"/>
      <c r="K79" s="32"/>
      <c r="L79" s="75">
        <v>79</v>
      </c>
      <c r="M79" s="75"/>
      <c r="N79" s="70"/>
      <c r="O79" s="77" t="s">
        <v>179</v>
      </c>
      <c r="P79" s="79">
        <v>45090.775682870371</v>
      </c>
      <c r="Q79" s="77" t="s">
        <v>662</v>
      </c>
      <c r="R79" s="77">
        <v>0</v>
      </c>
      <c r="S79" s="77">
        <v>0</v>
      </c>
      <c r="T79" s="77">
        <v>0</v>
      </c>
      <c r="U79" s="77">
        <v>0</v>
      </c>
      <c r="V79" s="77">
        <v>11</v>
      </c>
      <c r="W79" s="82" t="s">
        <v>1608</v>
      </c>
      <c r="X79" s="77"/>
      <c r="Y79" s="77"/>
      <c r="Z79" s="77"/>
      <c r="AA79" s="77"/>
      <c r="AB79" s="77"/>
      <c r="AC79" s="82" t="s">
        <v>2720</v>
      </c>
      <c r="AD79" s="77" t="s">
        <v>2752</v>
      </c>
      <c r="AE79" s="80" t="str">
        <f>HYPERLINK("https://twitter.com/prodrigues_cea/status/1668688935537483778")</f>
        <v>https://twitter.com/prodrigues_cea/status/1668688935537483778</v>
      </c>
      <c r="AF79" s="79">
        <v>45090.775682870371</v>
      </c>
      <c r="AG79" s="85">
        <v>45090</v>
      </c>
      <c r="AH79" s="82" t="s">
        <v>2836</v>
      </c>
      <c r="AI79" s="77"/>
      <c r="AJ79" s="77"/>
      <c r="AK79" s="77"/>
      <c r="AL79" s="77"/>
      <c r="AM79" s="77"/>
      <c r="AN79" s="77"/>
      <c r="AO79" s="77"/>
      <c r="AP79" s="77"/>
      <c r="AQ79" s="77"/>
      <c r="AR79" s="77"/>
      <c r="AS79" s="77"/>
      <c r="AT79" s="77"/>
      <c r="AU79" s="77"/>
      <c r="AV79" s="80" t="str">
        <f>HYPERLINK("https://pbs.twimg.com/profile_images/1237018925927403520/e_unhpZt_normal.jpg")</f>
        <v>https://pbs.twimg.com/profile_images/1237018925927403520/e_unhpZt_normal.jpg</v>
      </c>
      <c r="AW79" s="82" t="s">
        <v>4413</v>
      </c>
      <c r="AX79" s="82" t="s">
        <v>4413</v>
      </c>
      <c r="AY79" s="77"/>
      <c r="AZ79" s="82" t="s">
        <v>5615</v>
      </c>
      <c r="BA79" s="82" t="s">
        <v>5615</v>
      </c>
      <c r="BB79" s="82" t="s">
        <v>5615</v>
      </c>
      <c r="BC79" s="82" t="s">
        <v>4413</v>
      </c>
      <c r="BD79" s="77">
        <v>175759125</v>
      </c>
      <c r="BE79" s="77"/>
      <c r="BF79" s="77"/>
      <c r="BG79" s="77"/>
      <c r="BH79" s="77"/>
      <c r="BI79" s="77"/>
    </row>
    <row r="80" spans="1:61" x14ac:dyDescent="0.25">
      <c r="A80" s="62" t="s">
        <v>276</v>
      </c>
      <c r="B80" s="62" t="s">
        <v>276</v>
      </c>
      <c r="C80" s="63"/>
      <c r="D80" s="64"/>
      <c r="E80" s="65"/>
      <c r="F80" s="66"/>
      <c r="G80" s="63"/>
      <c r="H80" s="67"/>
      <c r="I80" s="68"/>
      <c r="J80" s="68"/>
      <c r="K80" s="32"/>
      <c r="L80" s="75">
        <v>80</v>
      </c>
      <c r="M80" s="75"/>
      <c r="N80" s="70"/>
      <c r="O80" s="77" t="s">
        <v>179</v>
      </c>
      <c r="P80" s="79">
        <v>45098.964560185188</v>
      </c>
      <c r="Q80" s="77" t="s">
        <v>663</v>
      </c>
      <c r="R80" s="77">
        <v>0</v>
      </c>
      <c r="S80" s="77">
        <v>0</v>
      </c>
      <c r="T80" s="77">
        <v>0</v>
      </c>
      <c r="U80" s="77">
        <v>0</v>
      </c>
      <c r="V80" s="77">
        <v>14</v>
      </c>
      <c r="W80" s="82" t="s">
        <v>1609</v>
      </c>
      <c r="X80" s="77"/>
      <c r="Y80" s="77"/>
      <c r="Z80" s="77"/>
      <c r="AA80" s="77"/>
      <c r="AB80" s="77"/>
      <c r="AC80" s="82" t="s">
        <v>2722</v>
      </c>
      <c r="AD80" s="77" t="s">
        <v>2752</v>
      </c>
      <c r="AE80" s="80" t="str">
        <f>HYPERLINK("https://twitter.com/andrenegociosbr/status/1671656483287695362")</f>
        <v>https://twitter.com/andrenegociosbr/status/1671656483287695362</v>
      </c>
      <c r="AF80" s="79">
        <v>45098.964560185188</v>
      </c>
      <c r="AG80" s="85">
        <v>45098</v>
      </c>
      <c r="AH80" s="82" t="s">
        <v>2837</v>
      </c>
      <c r="AI80" s="77"/>
      <c r="AJ80" s="77"/>
      <c r="AK80" s="77"/>
      <c r="AL80" s="77"/>
      <c r="AM80" s="77"/>
      <c r="AN80" s="77"/>
      <c r="AO80" s="77"/>
      <c r="AP80" s="77"/>
      <c r="AQ80" s="77"/>
      <c r="AR80" s="77"/>
      <c r="AS80" s="77"/>
      <c r="AT80" s="77"/>
      <c r="AU80" s="77"/>
      <c r="AV80" s="80" t="str">
        <f>HYPERLINK("https://pbs.twimg.com/profile_images/1665669594776780809/oBKSQn5I_normal.jpg")</f>
        <v>https://pbs.twimg.com/profile_images/1665669594776780809/oBKSQn5I_normal.jpg</v>
      </c>
      <c r="AW80" s="82" t="s">
        <v>4414</v>
      </c>
      <c r="AX80" s="82" t="s">
        <v>4414</v>
      </c>
      <c r="AY80" s="77"/>
      <c r="AZ80" s="82" t="s">
        <v>5615</v>
      </c>
      <c r="BA80" s="82" t="s">
        <v>5615</v>
      </c>
      <c r="BB80" s="82" t="s">
        <v>5615</v>
      </c>
      <c r="BC80" s="82" t="s">
        <v>4414</v>
      </c>
      <c r="BD80" s="82" t="s">
        <v>5890</v>
      </c>
      <c r="BE80" s="77"/>
      <c r="BF80" s="77"/>
      <c r="BG80" s="77"/>
      <c r="BH80" s="77"/>
      <c r="BI80" s="77"/>
    </row>
    <row r="81" spans="1:61" x14ac:dyDescent="0.25">
      <c r="A81" s="62" t="s">
        <v>276</v>
      </c>
      <c r="B81" s="62" t="s">
        <v>276</v>
      </c>
      <c r="C81" s="63"/>
      <c r="D81" s="64"/>
      <c r="E81" s="65"/>
      <c r="F81" s="66"/>
      <c r="G81" s="63"/>
      <c r="H81" s="67"/>
      <c r="I81" s="68"/>
      <c r="J81" s="68"/>
      <c r="K81" s="32"/>
      <c r="L81" s="75">
        <v>81</v>
      </c>
      <c r="M81" s="75"/>
      <c r="N81" s="70"/>
      <c r="O81" s="77" t="s">
        <v>179</v>
      </c>
      <c r="P81" s="79">
        <v>45098.49496527778</v>
      </c>
      <c r="Q81" s="77" t="s">
        <v>664</v>
      </c>
      <c r="R81" s="77">
        <v>0</v>
      </c>
      <c r="S81" s="77">
        <v>0</v>
      </c>
      <c r="T81" s="77">
        <v>0</v>
      </c>
      <c r="U81" s="77">
        <v>0</v>
      </c>
      <c r="V81" s="77">
        <v>13</v>
      </c>
      <c r="W81" s="82" t="s">
        <v>1563</v>
      </c>
      <c r="X81" s="77"/>
      <c r="Y81" s="77"/>
      <c r="Z81" s="77"/>
      <c r="AA81" s="77"/>
      <c r="AB81" s="77"/>
      <c r="AC81" s="82" t="s">
        <v>2722</v>
      </c>
      <c r="AD81" s="77" t="s">
        <v>2752</v>
      </c>
      <c r="AE81" s="80" t="str">
        <f>HYPERLINK("https://twitter.com/andrenegociosbr/status/1671486311008460800")</f>
        <v>https://twitter.com/andrenegociosbr/status/1671486311008460800</v>
      </c>
      <c r="AF81" s="79">
        <v>45098.49496527778</v>
      </c>
      <c r="AG81" s="85">
        <v>45098</v>
      </c>
      <c r="AH81" s="82" t="s">
        <v>2838</v>
      </c>
      <c r="AI81" s="77"/>
      <c r="AJ81" s="77"/>
      <c r="AK81" s="77"/>
      <c r="AL81" s="77"/>
      <c r="AM81" s="77"/>
      <c r="AN81" s="77"/>
      <c r="AO81" s="77"/>
      <c r="AP81" s="77"/>
      <c r="AQ81" s="77"/>
      <c r="AR81" s="77"/>
      <c r="AS81" s="77"/>
      <c r="AT81" s="77"/>
      <c r="AU81" s="77"/>
      <c r="AV81" s="80" t="str">
        <f>HYPERLINK("https://pbs.twimg.com/profile_images/1665669594776780809/oBKSQn5I_normal.jpg")</f>
        <v>https://pbs.twimg.com/profile_images/1665669594776780809/oBKSQn5I_normal.jpg</v>
      </c>
      <c r="AW81" s="82" t="s">
        <v>4415</v>
      </c>
      <c r="AX81" s="82" t="s">
        <v>4415</v>
      </c>
      <c r="AY81" s="77"/>
      <c r="AZ81" s="82" t="s">
        <v>5615</v>
      </c>
      <c r="BA81" s="82" t="s">
        <v>5615</v>
      </c>
      <c r="BB81" s="82" t="s">
        <v>5615</v>
      </c>
      <c r="BC81" s="82" t="s">
        <v>4415</v>
      </c>
      <c r="BD81" s="82" t="s">
        <v>5890</v>
      </c>
      <c r="BE81" s="77"/>
      <c r="BF81" s="77"/>
      <c r="BG81" s="77"/>
      <c r="BH81" s="77"/>
      <c r="BI81" s="77"/>
    </row>
    <row r="82" spans="1:61" x14ac:dyDescent="0.25">
      <c r="A82" s="62" t="s">
        <v>276</v>
      </c>
      <c r="B82" s="62" t="s">
        <v>276</v>
      </c>
      <c r="C82" s="63"/>
      <c r="D82" s="64"/>
      <c r="E82" s="65"/>
      <c r="F82" s="66"/>
      <c r="G82" s="63"/>
      <c r="H82" s="67"/>
      <c r="I82" s="68"/>
      <c r="J82" s="68"/>
      <c r="K82" s="32"/>
      <c r="L82" s="75">
        <v>82</v>
      </c>
      <c r="M82" s="75"/>
      <c r="N82" s="70"/>
      <c r="O82" s="77" t="s">
        <v>179</v>
      </c>
      <c r="P82" s="79">
        <v>45103.84039351852</v>
      </c>
      <c r="Q82" s="77" t="s">
        <v>665</v>
      </c>
      <c r="R82" s="77">
        <v>0</v>
      </c>
      <c r="S82" s="77">
        <v>0</v>
      </c>
      <c r="T82" s="77">
        <v>0</v>
      </c>
      <c r="U82" s="77">
        <v>0</v>
      </c>
      <c r="V82" s="77">
        <v>19</v>
      </c>
      <c r="W82" s="82" t="s">
        <v>1609</v>
      </c>
      <c r="X82" s="77"/>
      <c r="Y82" s="77"/>
      <c r="Z82" s="77"/>
      <c r="AA82" s="77"/>
      <c r="AB82" s="77"/>
      <c r="AC82" s="82" t="s">
        <v>2722</v>
      </c>
      <c r="AD82" s="77" t="s">
        <v>2752</v>
      </c>
      <c r="AE82" s="80" t="str">
        <f>HYPERLINK("https://twitter.com/andrenegociosbr/status/1673423428580175877")</f>
        <v>https://twitter.com/andrenegociosbr/status/1673423428580175877</v>
      </c>
      <c r="AF82" s="79">
        <v>45103.84039351852</v>
      </c>
      <c r="AG82" s="85">
        <v>45103</v>
      </c>
      <c r="AH82" s="82" t="s">
        <v>2839</v>
      </c>
      <c r="AI82" s="77"/>
      <c r="AJ82" s="77"/>
      <c r="AK82" s="77"/>
      <c r="AL82" s="77"/>
      <c r="AM82" s="77"/>
      <c r="AN82" s="77"/>
      <c r="AO82" s="77"/>
      <c r="AP82" s="77"/>
      <c r="AQ82" s="77"/>
      <c r="AR82" s="77"/>
      <c r="AS82" s="77"/>
      <c r="AT82" s="77"/>
      <c r="AU82" s="77"/>
      <c r="AV82" s="80" t="str">
        <f>HYPERLINK("https://pbs.twimg.com/profile_images/1665669594776780809/oBKSQn5I_normal.jpg")</f>
        <v>https://pbs.twimg.com/profile_images/1665669594776780809/oBKSQn5I_normal.jpg</v>
      </c>
      <c r="AW82" s="82" t="s">
        <v>4416</v>
      </c>
      <c r="AX82" s="82" t="s">
        <v>4416</v>
      </c>
      <c r="AY82" s="77"/>
      <c r="AZ82" s="82" t="s">
        <v>5615</v>
      </c>
      <c r="BA82" s="82" t="s">
        <v>5615</v>
      </c>
      <c r="BB82" s="82" t="s">
        <v>5615</v>
      </c>
      <c r="BC82" s="82" t="s">
        <v>4416</v>
      </c>
      <c r="BD82" s="82" t="s">
        <v>5890</v>
      </c>
      <c r="BE82" s="77"/>
      <c r="BF82" s="77"/>
      <c r="BG82" s="77"/>
      <c r="BH82" s="77"/>
      <c r="BI82" s="77"/>
    </row>
    <row r="83" spans="1:61" x14ac:dyDescent="0.25">
      <c r="A83" s="62" t="s">
        <v>276</v>
      </c>
      <c r="B83" s="62" t="s">
        <v>276</v>
      </c>
      <c r="C83" s="63"/>
      <c r="D83" s="64"/>
      <c r="E83" s="65"/>
      <c r="F83" s="66"/>
      <c r="G83" s="63"/>
      <c r="H83" s="67"/>
      <c r="I83" s="68"/>
      <c r="J83" s="68"/>
      <c r="K83" s="32"/>
      <c r="L83" s="75">
        <v>83</v>
      </c>
      <c r="M83" s="75"/>
      <c r="N83" s="70"/>
      <c r="O83" s="77" t="s">
        <v>179</v>
      </c>
      <c r="P83" s="79">
        <v>45102.606261574074</v>
      </c>
      <c r="Q83" s="77" t="s">
        <v>666</v>
      </c>
      <c r="R83" s="77">
        <v>1</v>
      </c>
      <c r="S83" s="77">
        <v>1</v>
      </c>
      <c r="T83" s="77">
        <v>0</v>
      </c>
      <c r="U83" s="77">
        <v>0</v>
      </c>
      <c r="V83" s="77">
        <v>27</v>
      </c>
      <c r="W83" s="82" t="s">
        <v>1610</v>
      </c>
      <c r="X83" s="77"/>
      <c r="Y83" s="77"/>
      <c r="Z83" s="77"/>
      <c r="AA83" s="77"/>
      <c r="AB83" s="77"/>
      <c r="AC83" s="82" t="s">
        <v>2722</v>
      </c>
      <c r="AD83" s="77" t="s">
        <v>2752</v>
      </c>
      <c r="AE83" s="80" t="str">
        <f>HYPERLINK("https://twitter.com/andrenegociosbr/status/1672976193191116800")</f>
        <v>https://twitter.com/andrenegociosbr/status/1672976193191116800</v>
      </c>
      <c r="AF83" s="79">
        <v>45102.606261574074</v>
      </c>
      <c r="AG83" s="85">
        <v>45102</v>
      </c>
      <c r="AH83" s="82" t="s">
        <v>2840</v>
      </c>
      <c r="AI83" s="77"/>
      <c r="AJ83" s="77"/>
      <c r="AK83" s="77"/>
      <c r="AL83" s="77"/>
      <c r="AM83" s="77"/>
      <c r="AN83" s="77"/>
      <c r="AO83" s="77"/>
      <c r="AP83" s="77"/>
      <c r="AQ83" s="77"/>
      <c r="AR83" s="77"/>
      <c r="AS83" s="77"/>
      <c r="AT83" s="77"/>
      <c r="AU83" s="77"/>
      <c r="AV83" s="80" t="str">
        <f>HYPERLINK("https://pbs.twimg.com/profile_images/1665669594776780809/oBKSQn5I_normal.jpg")</f>
        <v>https://pbs.twimg.com/profile_images/1665669594776780809/oBKSQn5I_normal.jpg</v>
      </c>
      <c r="AW83" s="82" t="s">
        <v>4417</v>
      </c>
      <c r="AX83" s="82" t="s">
        <v>4417</v>
      </c>
      <c r="AY83" s="77"/>
      <c r="AZ83" s="82" t="s">
        <v>5615</v>
      </c>
      <c r="BA83" s="82" t="s">
        <v>5615</v>
      </c>
      <c r="BB83" s="82" t="s">
        <v>5615</v>
      </c>
      <c r="BC83" s="82" t="s">
        <v>4417</v>
      </c>
      <c r="BD83" s="82" t="s">
        <v>5890</v>
      </c>
      <c r="BE83" s="77"/>
      <c r="BF83" s="77"/>
      <c r="BG83" s="77"/>
      <c r="BH83" s="77"/>
      <c r="BI83" s="77"/>
    </row>
    <row r="84" spans="1:61" x14ac:dyDescent="0.25">
      <c r="A84" s="62" t="s">
        <v>276</v>
      </c>
      <c r="B84" s="62" t="s">
        <v>276</v>
      </c>
      <c r="C84" s="63"/>
      <c r="D84" s="64"/>
      <c r="E84" s="65"/>
      <c r="F84" s="66"/>
      <c r="G84" s="63"/>
      <c r="H84" s="67"/>
      <c r="I84" s="68"/>
      <c r="J84" s="68"/>
      <c r="K84" s="32"/>
      <c r="L84" s="75">
        <v>84</v>
      </c>
      <c r="M84" s="75"/>
      <c r="N84" s="70"/>
      <c r="O84" s="77" t="s">
        <v>179</v>
      </c>
      <c r="P84" s="79">
        <v>45134.472314814811</v>
      </c>
      <c r="Q84" s="77" t="s">
        <v>667</v>
      </c>
      <c r="R84" s="77">
        <v>0</v>
      </c>
      <c r="S84" s="77">
        <v>0</v>
      </c>
      <c r="T84" s="77">
        <v>0</v>
      </c>
      <c r="U84" s="77">
        <v>0</v>
      </c>
      <c r="V84" s="77">
        <v>17</v>
      </c>
      <c r="W84" s="82" t="s">
        <v>1611</v>
      </c>
      <c r="X84" s="77"/>
      <c r="Y84" s="77"/>
      <c r="Z84" s="77"/>
      <c r="AA84" s="77"/>
      <c r="AB84" s="77"/>
      <c r="AC84" s="82" t="s">
        <v>2722</v>
      </c>
      <c r="AD84" s="77" t="s">
        <v>2752</v>
      </c>
      <c r="AE84" s="80" t="str">
        <f>HYPERLINK("https://twitter.com/andrenegociosbr/status/1684524066135322624")</f>
        <v>https://twitter.com/andrenegociosbr/status/1684524066135322624</v>
      </c>
      <c r="AF84" s="79">
        <v>45134.472314814811</v>
      </c>
      <c r="AG84" s="85">
        <v>45134</v>
      </c>
      <c r="AH84" s="82" t="s">
        <v>2841</v>
      </c>
      <c r="AI84" s="77"/>
      <c r="AJ84" s="77"/>
      <c r="AK84" s="77"/>
      <c r="AL84" s="77"/>
      <c r="AM84" s="77"/>
      <c r="AN84" s="77"/>
      <c r="AO84" s="77"/>
      <c r="AP84" s="77"/>
      <c r="AQ84" s="77"/>
      <c r="AR84" s="77"/>
      <c r="AS84" s="77"/>
      <c r="AT84" s="77"/>
      <c r="AU84" s="77"/>
      <c r="AV84" s="80" t="str">
        <f>HYPERLINK("https://pbs.twimg.com/profile_images/1665669594776780809/oBKSQn5I_normal.jpg")</f>
        <v>https://pbs.twimg.com/profile_images/1665669594776780809/oBKSQn5I_normal.jpg</v>
      </c>
      <c r="AW84" s="82" t="s">
        <v>4418</v>
      </c>
      <c r="AX84" s="82" t="s">
        <v>4418</v>
      </c>
      <c r="AY84" s="77"/>
      <c r="AZ84" s="82" t="s">
        <v>5615</v>
      </c>
      <c r="BA84" s="82" t="s">
        <v>5615</v>
      </c>
      <c r="BB84" s="82" t="s">
        <v>5615</v>
      </c>
      <c r="BC84" s="82" t="s">
        <v>4418</v>
      </c>
      <c r="BD84" s="82" t="s">
        <v>5890</v>
      </c>
      <c r="BE84" s="77"/>
      <c r="BF84" s="77"/>
      <c r="BG84" s="77"/>
      <c r="BH84" s="77"/>
      <c r="BI84" s="77"/>
    </row>
    <row r="85" spans="1:61" x14ac:dyDescent="0.25">
      <c r="A85" s="62" t="s">
        <v>276</v>
      </c>
      <c r="B85" s="62" t="s">
        <v>276</v>
      </c>
      <c r="C85" s="63"/>
      <c r="D85" s="64"/>
      <c r="E85" s="65"/>
      <c r="F85" s="66"/>
      <c r="G85" s="63"/>
      <c r="H85" s="67"/>
      <c r="I85" s="68"/>
      <c r="J85" s="68"/>
      <c r="K85" s="32"/>
      <c r="L85" s="75">
        <v>85</v>
      </c>
      <c r="M85" s="75"/>
      <c r="N85" s="70"/>
      <c r="O85" s="77" t="s">
        <v>179</v>
      </c>
      <c r="P85" s="79">
        <v>45097.022870370369</v>
      </c>
      <c r="Q85" s="77" t="s">
        <v>668</v>
      </c>
      <c r="R85" s="77">
        <v>0</v>
      </c>
      <c r="S85" s="77">
        <v>1</v>
      </c>
      <c r="T85" s="77">
        <v>0</v>
      </c>
      <c r="U85" s="77">
        <v>0</v>
      </c>
      <c r="V85" s="77">
        <v>17</v>
      </c>
      <c r="W85" s="82" t="s">
        <v>1612</v>
      </c>
      <c r="X85" s="77"/>
      <c r="Y85" s="77"/>
      <c r="Z85" s="77"/>
      <c r="AA85" s="77"/>
      <c r="AB85" s="77"/>
      <c r="AC85" s="82" t="s">
        <v>2722</v>
      </c>
      <c r="AD85" s="77" t="s">
        <v>2752</v>
      </c>
      <c r="AE85" s="80" t="str">
        <f>HYPERLINK("https://twitter.com/andrenegociosbr/status/1670952840309637121")</f>
        <v>https://twitter.com/andrenegociosbr/status/1670952840309637121</v>
      </c>
      <c r="AF85" s="79">
        <v>45097.022870370369</v>
      </c>
      <c r="AG85" s="85">
        <v>45097</v>
      </c>
      <c r="AH85" s="82" t="s">
        <v>2842</v>
      </c>
      <c r="AI85" s="77"/>
      <c r="AJ85" s="77"/>
      <c r="AK85" s="77"/>
      <c r="AL85" s="77"/>
      <c r="AM85" s="77"/>
      <c r="AN85" s="77"/>
      <c r="AO85" s="77"/>
      <c r="AP85" s="77"/>
      <c r="AQ85" s="77"/>
      <c r="AR85" s="77"/>
      <c r="AS85" s="77"/>
      <c r="AT85" s="77"/>
      <c r="AU85" s="77"/>
      <c r="AV85" s="80" t="str">
        <f>HYPERLINK("https://pbs.twimg.com/profile_images/1665669594776780809/oBKSQn5I_normal.jpg")</f>
        <v>https://pbs.twimg.com/profile_images/1665669594776780809/oBKSQn5I_normal.jpg</v>
      </c>
      <c r="AW85" s="82" t="s">
        <v>4419</v>
      </c>
      <c r="AX85" s="82" t="s">
        <v>4419</v>
      </c>
      <c r="AY85" s="77"/>
      <c r="AZ85" s="82" t="s">
        <v>5615</v>
      </c>
      <c r="BA85" s="82" t="s">
        <v>5615</v>
      </c>
      <c r="BB85" s="82" t="s">
        <v>5615</v>
      </c>
      <c r="BC85" s="82" t="s">
        <v>4419</v>
      </c>
      <c r="BD85" s="82" t="s">
        <v>5890</v>
      </c>
      <c r="BE85" s="77"/>
      <c r="BF85" s="77"/>
      <c r="BG85" s="77"/>
      <c r="BH85" s="77"/>
      <c r="BI85" s="77"/>
    </row>
    <row r="86" spans="1:61" x14ac:dyDescent="0.25">
      <c r="A86" s="62" t="s">
        <v>277</v>
      </c>
      <c r="B86" s="62" t="s">
        <v>277</v>
      </c>
      <c r="C86" s="63"/>
      <c r="D86" s="64"/>
      <c r="E86" s="65"/>
      <c r="F86" s="66"/>
      <c r="G86" s="63"/>
      <c r="H86" s="67"/>
      <c r="I86" s="68"/>
      <c r="J86" s="68"/>
      <c r="K86" s="32"/>
      <c r="L86" s="75">
        <v>86</v>
      </c>
      <c r="M86" s="75"/>
      <c r="N86" s="70"/>
      <c r="O86" s="77" t="s">
        <v>179</v>
      </c>
      <c r="P86" s="79">
        <v>44954.521793981483</v>
      </c>
      <c r="Q86" s="77" t="s">
        <v>669</v>
      </c>
      <c r="R86" s="77">
        <v>0</v>
      </c>
      <c r="S86" s="77">
        <v>0</v>
      </c>
      <c r="T86" s="77">
        <v>0</v>
      </c>
      <c r="U86" s="77">
        <v>0</v>
      </c>
      <c r="V86" s="77">
        <v>22</v>
      </c>
      <c r="W86" s="82" t="s">
        <v>1613</v>
      </c>
      <c r="X86" s="77"/>
      <c r="Y86" s="77"/>
      <c r="Z86" s="77"/>
      <c r="AA86" s="77"/>
      <c r="AB86" s="77"/>
      <c r="AC86" s="82" t="s">
        <v>2719</v>
      </c>
      <c r="AD86" s="77" t="s">
        <v>2752</v>
      </c>
      <c r="AE86" s="80" t="str">
        <f>HYPERLINK("https://twitter.com/mktdigital2023/status/1619312180855447553")</f>
        <v>https://twitter.com/mktdigital2023/status/1619312180855447553</v>
      </c>
      <c r="AF86" s="79">
        <v>44954.521793981483</v>
      </c>
      <c r="AG86" s="85">
        <v>44954</v>
      </c>
      <c r="AH86" s="82" t="s">
        <v>2843</v>
      </c>
      <c r="AI86" s="77"/>
      <c r="AJ86" s="77"/>
      <c r="AK86" s="77"/>
      <c r="AL86" s="77"/>
      <c r="AM86" s="77"/>
      <c r="AN86" s="77"/>
      <c r="AO86" s="77"/>
      <c r="AP86" s="77"/>
      <c r="AQ86" s="77"/>
      <c r="AR86" s="77"/>
      <c r="AS86" s="77"/>
      <c r="AT86" s="77"/>
      <c r="AU86" s="77"/>
      <c r="AV86" s="80" t="str">
        <f>HYPERLINK("https://pbs.twimg.com/profile_images/1613935197732364289/GaEpArku_normal.jpg")</f>
        <v>https://pbs.twimg.com/profile_images/1613935197732364289/GaEpArku_normal.jpg</v>
      </c>
      <c r="AW86" s="82" t="s">
        <v>4420</v>
      </c>
      <c r="AX86" s="82" t="s">
        <v>4420</v>
      </c>
      <c r="AY86" s="77"/>
      <c r="AZ86" s="82" t="s">
        <v>5615</v>
      </c>
      <c r="BA86" s="82" t="s">
        <v>5615</v>
      </c>
      <c r="BB86" s="82" t="s">
        <v>5615</v>
      </c>
      <c r="BC86" s="82" t="s">
        <v>4420</v>
      </c>
      <c r="BD86" s="82" t="s">
        <v>5891</v>
      </c>
      <c r="BE86" s="77"/>
      <c r="BF86" s="77"/>
      <c r="BG86" s="77"/>
      <c r="BH86" s="77"/>
      <c r="BI86" s="77"/>
    </row>
    <row r="87" spans="1:61" x14ac:dyDescent="0.25">
      <c r="A87" s="62" t="s">
        <v>277</v>
      </c>
      <c r="B87" s="62" t="s">
        <v>277</v>
      </c>
      <c r="C87" s="63"/>
      <c r="D87" s="64"/>
      <c r="E87" s="65"/>
      <c r="F87" s="66"/>
      <c r="G87" s="63"/>
      <c r="H87" s="67"/>
      <c r="I87" s="68"/>
      <c r="J87" s="68"/>
      <c r="K87" s="32"/>
      <c r="L87" s="75">
        <v>87</v>
      </c>
      <c r="M87" s="75"/>
      <c r="N87" s="70"/>
      <c r="O87" s="77" t="s">
        <v>179</v>
      </c>
      <c r="P87" s="79">
        <v>44942.645601851851</v>
      </c>
      <c r="Q87" s="77" t="s">
        <v>670</v>
      </c>
      <c r="R87" s="77">
        <v>0</v>
      </c>
      <c r="S87" s="77">
        <v>0</v>
      </c>
      <c r="T87" s="77">
        <v>0</v>
      </c>
      <c r="U87" s="77">
        <v>0</v>
      </c>
      <c r="V87" s="77">
        <v>27</v>
      </c>
      <c r="W87" s="82" t="s">
        <v>1614</v>
      </c>
      <c r="X87" s="80" t="str">
        <f>HYPERLINK("https://go.hotmart.com/L78388156D")</f>
        <v>https://go.hotmart.com/L78388156D</v>
      </c>
      <c r="Y87" s="77" t="s">
        <v>2138</v>
      </c>
      <c r="Z87" s="77"/>
      <c r="AA87" s="77" t="s">
        <v>2239</v>
      </c>
      <c r="AB87" s="77" t="s">
        <v>2714</v>
      </c>
      <c r="AC87" s="82" t="s">
        <v>2722</v>
      </c>
      <c r="AD87" s="77" t="s">
        <v>2752</v>
      </c>
      <c r="AE87" s="80" t="str">
        <f>HYPERLINK("https://twitter.com/mktdigital2023/status/1615008391289511939")</f>
        <v>https://twitter.com/mktdigital2023/status/1615008391289511939</v>
      </c>
      <c r="AF87" s="79">
        <v>44942.645601851851</v>
      </c>
      <c r="AG87" s="85">
        <v>44942</v>
      </c>
      <c r="AH87" s="82" t="s">
        <v>2844</v>
      </c>
      <c r="AI87" s="77" t="b">
        <v>0</v>
      </c>
      <c r="AJ87" s="77"/>
      <c r="AK87" s="77"/>
      <c r="AL87" s="77"/>
      <c r="AM87" s="77"/>
      <c r="AN87" s="77"/>
      <c r="AO87" s="77"/>
      <c r="AP87" s="77"/>
      <c r="AQ87" s="77" t="s">
        <v>3865</v>
      </c>
      <c r="AR87" s="77"/>
      <c r="AS87" s="77"/>
      <c r="AT87" s="77"/>
      <c r="AU87" s="77"/>
      <c r="AV87" s="80" t="str">
        <f>HYPERLINK("https://pbs.twimg.com/media/FmmoJM3XgAEdrGh.jpg")</f>
        <v>https://pbs.twimg.com/media/FmmoJM3XgAEdrGh.jpg</v>
      </c>
      <c r="AW87" s="82" t="s">
        <v>4421</v>
      </c>
      <c r="AX87" s="82" t="s">
        <v>4421</v>
      </c>
      <c r="AY87" s="77"/>
      <c r="AZ87" s="82" t="s">
        <v>5615</v>
      </c>
      <c r="BA87" s="82" t="s">
        <v>5615</v>
      </c>
      <c r="BB87" s="82" t="s">
        <v>5615</v>
      </c>
      <c r="BC87" s="82" t="s">
        <v>4421</v>
      </c>
      <c r="BD87" s="82" t="s">
        <v>5891</v>
      </c>
      <c r="BE87" s="77"/>
      <c r="BF87" s="77"/>
      <c r="BG87" s="77"/>
      <c r="BH87" s="77"/>
      <c r="BI87" s="77"/>
    </row>
    <row r="88" spans="1:61" x14ac:dyDescent="0.25">
      <c r="A88" s="62" t="s">
        <v>277</v>
      </c>
      <c r="B88" s="62" t="s">
        <v>277</v>
      </c>
      <c r="C88" s="63"/>
      <c r="D88" s="64"/>
      <c r="E88" s="65"/>
      <c r="F88" s="66"/>
      <c r="G88" s="63"/>
      <c r="H88" s="67"/>
      <c r="I88" s="68"/>
      <c r="J88" s="68"/>
      <c r="K88" s="32"/>
      <c r="L88" s="75">
        <v>88</v>
      </c>
      <c r="M88" s="75"/>
      <c r="N88" s="70"/>
      <c r="O88" s="77" t="s">
        <v>179</v>
      </c>
      <c r="P88" s="79">
        <v>44940.69734953704</v>
      </c>
      <c r="Q88" s="77" t="s">
        <v>671</v>
      </c>
      <c r="R88" s="77">
        <v>0</v>
      </c>
      <c r="S88" s="77">
        <v>0</v>
      </c>
      <c r="T88" s="77">
        <v>0</v>
      </c>
      <c r="U88" s="77">
        <v>0</v>
      </c>
      <c r="V88" s="77">
        <v>14</v>
      </c>
      <c r="W88" s="82" t="s">
        <v>1615</v>
      </c>
      <c r="X88" s="77"/>
      <c r="Y88" s="77"/>
      <c r="Z88" s="77"/>
      <c r="AA88" s="77"/>
      <c r="AB88" s="77"/>
      <c r="AC88" s="82" t="s">
        <v>2719</v>
      </c>
      <c r="AD88" s="77" t="s">
        <v>2752</v>
      </c>
      <c r="AE88" s="80" t="str">
        <f>HYPERLINK("https://twitter.com/mktdigital2023/status/1614302369889636354")</f>
        <v>https://twitter.com/mktdigital2023/status/1614302369889636354</v>
      </c>
      <c r="AF88" s="79">
        <v>44940.69734953704</v>
      </c>
      <c r="AG88" s="85">
        <v>44940</v>
      </c>
      <c r="AH88" s="82" t="s">
        <v>2845</v>
      </c>
      <c r="AI88" s="77"/>
      <c r="AJ88" s="77"/>
      <c r="AK88" s="77"/>
      <c r="AL88" s="77"/>
      <c r="AM88" s="77"/>
      <c r="AN88" s="77"/>
      <c r="AO88" s="77"/>
      <c r="AP88" s="77"/>
      <c r="AQ88" s="77"/>
      <c r="AR88" s="77"/>
      <c r="AS88" s="77"/>
      <c r="AT88" s="77"/>
      <c r="AU88" s="77"/>
      <c r="AV88" s="80" t="str">
        <f>HYPERLINK("https://pbs.twimg.com/profile_images/1613935197732364289/GaEpArku_normal.jpg")</f>
        <v>https://pbs.twimg.com/profile_images/1613935197732364289/GaEpArku_normal.jpg</v>
      </c>
      <c r="AW88" s="82" t="s">
        <v>4422</v>
      </c>
      <c r="AX88" s="82" t="s">
        <v>4422</v>
      </c>
      <c r="AY88" s="77"/>
      <c r="AZ88" s="82" t="s">
        <v>5615</v>
      </c>
      <c r="BA88" s="82" t="s">
        <v>5615</v>
      </c>
      <c r="BB88" s="82" t="s">
        <v>5615</v>
      </c>
      <c r="BC88" s="82" t="s">
        <v>4422</v>
      </c>
      <c r="BD88" s="82" t="s">
        <v>5891</v>
      </c>
      <c r="BE88" s="77"/>
      <c r="BF88" s="77"/>
      <c r="BG88" s="77"/>
      <c r="BH88" s="77"/>
      <c r="BI88" s="77"/>
    </row>
    <row r="89" spans="1:61" x14ac:dyDescent="0.25">
      <c r="A89" s="62" t="s">
        <v>277</v>
      </c>
      <c r="B89" s="62" t="s">
        <v>277</v>
      </c>
      <c r="C89" s="63"/>
      <c r="D89" s="64"/>
      <c r="E89" s="65"/>
      <c r="F89" s="66"/>
      <c r="G89" s="63"/>
      <c r="H89" s="67"/>
      <c r="I89" s="68"/>
      <c r="J89" s="68"/>
      <c r="K89" s="32"/>
      <c r="L89" s="75">
        <v>89</v>
      </c>
      <c r="M89" s="75"/>
      <c r="N89" s="70"/>
      <c r="O89" s="77" t="s">
        <v>179</v>
      </c>
      <c r="P89" s="79">
        <v>44946.60260416667</v>
      </c>
      <c r="Q89" s="77" t="s">
        <v>672</v>
      </c>
      <c r="R89" s="77">
        <v>1</v>
      </c>
      <c r="S89" s="77">
        <v>0</v>
      </c>
      <c r="T89" s="77">
        <v>0</v>
      </c>
      <c r="U89" s="77">
        <v>0</v>
      </c>
      <c r="V89" s="77">
        <v>50</v>
      </c>
      <c r="W89" s="82" t="s">
        <v>1616</v>
      </c>
      <c r="X89" s="80" t="str">
        <f>HYPERLINK("https://go.hotmart.com/L78388156D")</f>
        <v>https://go.hotmart.com/L78388156D</v>
      </c>
      <c r="Y89" s="77" t="s">
        <v>2138</v>
      </c>
      <c r="Z89" s="77"/>
      <c r="AA89" s="77" t="s">
        <v>2240</v>
      </c>
      <c r="AB89" s="77" t="s">
        <v>2713</v>
      </c>
      <c r="AC89" s="82" t="s">
        <v>2722</v>
      </c>
      <c r="AD89" s="77" t="s">
        <v>2752</v>
      </c>
      <c r="AE89" s="80" t="str">
        <f>HYPERLINK("https://twitter.com/mktdigital2023/status/1616442361651023880")</f>
        <v>https://twitter.com/mktdigital2023/status/1616442361651023880</v>
      </c>
      <c r="AF89" s="79">
        <v>44946.60260416667</v>
      </c>
      <c r="AG89" s="85">
        <v>44946</v>
      </c>
      <c r="AH89" s="82" t="s">
        <v>2846</v>
      </c>
      <c r="AI89" s="77" t="b">
        <v>0</v>
      </c>
      <c r="AJ89" s="77"/>
      <c r="AK89" s="77"/>
      <c r="AL89" s="77"/>
      <c r="AM89" s="77"/>
      <c r="AN89" s="77"/>
      <c r="AO89" s="77"/>
      <c r="AP89" s="77"/>
      <c r="AQ89" s="77" t="s">
        <v>3866</v>
      </c>
      <c r="AR89" s="77">
        <v>27080</v>
      </c>
      <c r="AS89" s="77"/>
      <c r="AT89" s="77"/>
      <c r="AU89" s="77"/>
      <c r="AV89" s="80" t="str">
        <f>HYPERLINK("https://pbs.twimg.com/ext_tw_video_thumb/1616441002277089282/pu/img/0iTHPQDv89T1Wqr8.jpg")</f>
        <v>https://pbs.twimg.com/ext_tw_video_thumb/1616441002277089282/pu/img/0iTHPQDv89T1Wqr8.jpg</v>
      </c>
      <c r="AW89" s="82" t="s">
        <v>4423</v>
      </c>
      <c r="AX89" s="82" t="s">
        <v>4423</v>
      </c>
      <c r="AY89" s="77"/>
      <c r="AZ89" s="82" t="s">
        <v>5615</v>
      </c>
      <c r="BA89" s="82" t="s">
        <v>5615</v>
      </c>
      <c r="BB89" s="82" t="s">
        <v>5615</v>
      </c>
      <c r="BC89" s="82" t="s">
        <v>4423</v>
      </c>
      <c r="BD89" s="82" t="s">
        <v>5891</v>
      </c>
      <c r="BE89" s="77"/>
      <c r="BF89" s="77"/>
      <c r="BG89" s="77"/>
      <c r="BH89" s="77"/>
      <c r="BI89" s="77"/>
    </row>
    <row r="90" spans="1:61" x14ac:dyDescent="0.25">
      <c r="A90" s="62" t="s">
        <v>278</v>
      </c>
      <c r="B90" s="62" t="s">
        <v>278</v>
      </c>
      <c r="C90" s="63"/>
      <c r="D90" s="64"/>
      <c r="E90" s="65"/>
      <c r="F90" s="66"/>
      <c r="G90" s="63"/>
      <c r="H90" s="67"/>
      <c r="I90" s="68"/>
      <c r="J90" s="68"/>
      <c r="K90" s="32"/>
      <c r="L90" s="75">
        <v>90</v>
      </c>
      <c r="M90" s="75"/>
      <c r="N90" s="70"/>
      <c r="O90" s="77" t="s">
        <v>179</v>
      </c>
      <c r="P90" s="79">
        <v>44949.003460648149</v>
      </c>
      <c r="Q90" s="77" t="s">
        <v>673</v>
      </c>
      <c r="R90" s="77">
        <v>0</v>
      </c>
      <c r="S90" s="77">
        <v>0</v>
      </c>
      <c r="T90" s="77">
        <v>0</v>
      </c>
      <c r="U90" s="77">
        <v>0</v>
      </c>
      <c r="V90" s="77">
        <v>27</v>
      </c>
      <c r="W90" s="82" t="s">
        <v>1617</v>
      </c>
      <c r="X90" s="77"/>
      <c r="Y90" s="77"/>
      <c r="Z90" s="77"/>
      <c r="AA90" s="77"/>
      <c r="AB90" s="77"/>
      <c r="AC90" s="82" t="s">
        <v>2720</v>
      </c>
      <c r="AD90" s="77" t="s">
        <v>2752</v>
      </c>
      <c r="AE90" s="80" t="str">
        <f>HYPERLINK("https://twitter.com/acadfinancas/status/1617312403334594563")</f>
        <v>https://twitter.com/acadfinancas/status/1617312403334594563</v>
      </c>
      <c r="AF90" s="79">
        <v>44949.003460648149</v>
      </c>
      <c r="AG90" s="85">
        <v>44949</v>
      </c>
      <c r="AH90" s="82" t="s">
        <v>2847</v>
      </c>
      <c r="AI90" s="77"/>
      <c r="AJ90" s="77"/>
      <c r="AK90" s="77"/>
      <c r="AL90" s="77"/>
      <c r="AM90" s="77"/>
      <c r="AN90" s="77"/>
      <c r="AO90" s="77"/>
      <c r="AP90" s="77"/>
      <c r="AQ90" s="77"/>
      <c r="AR90" s="77"/>
      <c r="AS90" s="77"/>
      <c r="AT90" s="77"/>
      <c r="AU90" s="77"/>
      <c r="AV90" s="80" t="str">
        <f>HYPERLINK("https://pbs.twimg.com/profile_images/1652105999757500416/HGClhwWP_normal.jpg")</f>
        <v>https://pbs.twimg.com/profile_images/1652105999757500416/HGClhwWP_normal.jpg</v>
      </c>
      <c r="AW90" s="82" t="s">
        <v>4424</v>
      </c>
      <c r="AX90" s="82" t="s">
        <v>4424</v>
      </c>
      <c r="AY90" s="77"/>
      <c r="AZ90" s="82" t="s">
        <v>5615</v>
      </c>
      <c r="BA90" s="82" t="s">
        <v>5615</v>
      </c>
      <c r="BB90" s="82" t="s">
        <v>5615</v>
      </c>
      <c r="BC90" s="82" t="s">
        <v>4424</v>
      </c>
      <c r="BD90" s="82" t="s">
        <v>5892</v>
      </c>
      <c r="BE90" s="77"/>
      <c r="BF90" s="77"/>
      <c r="BG90" s="77"/>
      <c r="BH90" s="77"/>
      <c r="BI90" s="77"/>
    </row>
    <row r="91" spans="1:61" x14ac:dyDescent="0.25">
      <c r="A91" s="62" t="s">
        <v>278</v>
      </c>
      <c r="B91" s="62" t="s">
        <v>278</v>
      </c>
      <c r="C91" s="63"/>
      <c r="D91" s="64"/>
      <c r="E91" s="65"/>
      <c r="F91" s="66"/>
      <c r="G91" s="63"/>
      <c r="H91" s="67"/>
      <c r="I91" s="68"/>
      <c r="J91" s="68"/>
      <c r="K91" s="32"/>
      <c r="L91" s="75">
        <v>91</v>
      </c>
      <c r="M91" s="75"/>
      <c r="N91" s="70"/>
      <c r="O91" s="77" t="s">
        <v>586</v>
      </c>
      <c r="P91" s="79">
        <v>44950.780659722222</v>
      </c>
      <c r="Q91" s="77" t="s">
        <v>674</v>
      </c>
      <c r="R91" s="77">
        <v>0</v>
      </c>
      <c r="S91" s="77">
        <v>0</v>
      </c>
      <c r="T91" s="77">
        <v>0</v>
      </c>
      <c r="U91" s="77">
        <v>0</v>
      </c>
      <c r="V91" s="77">
        <v>37</v>
      </c>
      <c r="W91" s="82" t="s">
        <v>1617</v>
      </c>
      <c r="X91" s="77"/>
      <c r="Y91" s="77"/>
      <c r="Z91" s="77" t="s">
        <v>278</v>
      </c>
      <c r="AA91" s="77" t="s">
        <v>2241</v>
      </c>
      <c r="AB91" s="77" t="s">
        <v>2716</v>
      </c>
      <c r="AC91" s="82" t="s">
        <v>2720</v>
      </c>
      <c r="AD91" s="77" t="s">
        <v>2752</v>
      </c>
      <c r="AE91" s="80" t="str">
        <f>HYPERLINK("https://twitter.com/acadfinancas/status/1617956438416187392")</f>
        <v>https://twitter.com/acadfinancas/status/1617956438416187392</v>
      </c>
      <c r="AF91" s="79">
        <v>44950.780659722222</v>
      </c>
      <c r="AG91" s="85">
        <v>44950</v>
      </c>
      <c r="AH91" s="82" t="s">
        <v>2848</v>
      </c>
      <c r="AI91" s="77" t="b">
        <v>0</v>
      </c>
      <c r="AJ91" s="77"/>
      <c r="AK91" s="77"/>
      <c r="AL91" s="77"/>
      <c r="AM91" s="77"/>
      <c r="AN91" s="77"/>
      <c r="AO91" s="77"/>
      <c r="AP91" s="77"/>
      <c r="AQ91" s="77" t="s">
        <v>3867</v>
      </c>
      <c r="AR91" s="77"/>
      <c r="AS91" s="77"/>
      <c r="AT91" s="77"/>
      <c r="AU91" s="77"/>
      <c r="AV91" s="80" t="str">
        <f>HYPERLINK("https://pbs.twimg.com/media/FnQizVBXEA0GoHX.jpg")</f>
        <v>https://pbs.twimg.com/media/FnQizVBXEA0GoHX.jpg</v>
      </c>
      <c r="AW91" s="82" t="s">
        <v>4425</v>
      </c>
      <c r="AX91" s="82" t="s">
        <v>4425</v>
      </c>
      <c r="AY91" s="77"/>
      <c r="AZ91" s="82" t="s">
        <v>5615</v>
      </c>
      <c r="BA91" s="82" t="s">
        <v>5615</v>
      </c>
      <c r="BB91" s="82" t="s">
        <v>5615</v>
      </c>
      <c r="BC91" s="82" t="s">
        <v>4425</v>
      </c>
      <c r="BD91" s="82" t="s">
        <v>5892</v>
      </c>
      <c r="BE91" s="77"/>
      <c r="BF91" s="77"/>
      <c r="BG91" s="77"/>
      <c r="BH91" s="77"/>
      <c r="BI91" s="77"/>
    </row>
    <row r="92" spans="1:61" x14ac:dyDescent="0.25">
      <c r="A92" s="62" t="s">
        <v>279</v>
      </c>
      <c r="B92" s="62" t="s">
        <v>279</v>
      </c>
      <c r="C92" s="63"/>
      <c r="D92" s="64"/>
      <c r="E92" s="65"/>
      <c r="F92" s="66"/>
      <c r="G92" s="63"/>
      <c r="H92" s="67"/>
      <c r="I92" s="68"/>
      <c r="J92" s="68"/>
      <c r="K92" s="32"/>
      <c r="L92" s="75">
        <v>92</v>
      </c>
      <c r="M92" s="75"/>
      <c r="N92" s="70"/>
      <c r="O92" s="77" t="s">
        <v>179</v>
      </c>
      <c r="P92" s="79">
        <v>45186.603784722225</v>
      </c>
      <c r="Q92" s="77" t="s">
        <v>675</v>
      </c>
      <c r="R92" s="77">
        <v>0</v>
      </c>
      <c r="S92" s="77">
        <v>1</v>
      </c>
      <c r="T92" s="77">
        <v>0</v>
      </c>
      <c r="U92" s="77">
        <v>0</v>
      </c>
      <c r="V92" s="77">
        <v>4</v>
      </c>
      <c r="W92" s="82" t="s">
        <v>1618</v>
      </c>
      <c r="X92" s="80" t="str">
        <f>HYPERLINK("https://sun.eduzz.com/2076293")</f>
        <v>https://sun.eduzz.com/2076293</v>
      </c>
      <c r="Y92" s="77" t="s">
        <v>2139</v>
      </c>
      <c r="Z92" s="77"/>
      <c r="AA92" s="77"/>
      <c r="AB92" s="77"/>
      <c r="AC92" s="82" t="s">
        <v>2719</v>
      </c>
      <c r="AD92" s="77" t="s">
        <v>2752</v>
      </c>
      <c r="AE92" s="80" t="str">
        <f>HYPERLINK("https://twitter.com/luan2523306/status/1703415874764276022")</f>
        <v>https://twitter.com/luan2523306/status/1703415874764276022</v>
      </c>
      <c r="AF92" s="79">
        <v>45186.603784722225</v>
      </c>
      <c r="AG92" s="85">
        <v>45186</v>
      </c>
      <c r="AH92" s="82" t="s">
        <v>2849</v>
      </c>
      <c r="AI92" s="77" t="b">
        <v>0</v>
      </c>
      <c r="AJ92" s="77"/>
      <c r="AK92" s="77"/>
      <c r="AL92" s="77"/>
      <c r="AM92" s="77"/>
      <c r="AN92" s="77"/>
      <c r="AO92" s="77"/>
      <c r="AP92" s="77"/>
      <c r="AQ92" s="77"/>
      <c r="AR92" s="77"/>
      <c r="AS92" s="77"/>
      <c r="AT92" s="77"/>
      <c r="AU92" s="77"/>
      <c r="AV92" s="80" t="str">
        <f>HYPERLINK("https://pbs.twimg.com/profile_images/1703414654305796096/WdqnINke_normal.jpg")</f>
        <v>https://pbs.twimg.com/profile_images/1703414654305796096/WdqnINke_normal.jpg</v>
      </c>
      <c r="AW92" s="82" t="s">
        <v>4426</v>
      </c>
      <c r="AX92" s="82" t="s">
        <v>4426</v>
      </c>
      <c r="AY92" s="77"/>
      <c r="AZ92" s="82" t="s">
        <v>5615</v>
      </c>
      <c r="BA92" s="82" t="s">
        <v>5615</v>
      </c>
      <c r="BB92" s="82" t="s">
        <v>5615</v>
      </c>
      <c r="BC92" s="82" t="s">
        <v>4426</v>
      </c>
      <c r="BD92" s="82" t="s">
        <v>5893</v>
      </c>
      <c r="BE92" s="77"/>
      <c r="BF92" s="77"/>
      <c r="BG92" s="77"/>
      <c r="BH92" s="77"/>
      <c r="BI92" s="77"/>
    </row>
    <row r="93" spans="1:61" x14ac:dyDescent="0.25">
      <c r="A93" s="62" t="s">
        <v>280</v>
      </c>
      <c r="B93" s="62" t="s">
        <v>280</v>
      </c>
      <c r="C93" s="63"/>
      <c r="D93" s="64"/>
      <c r="E93" s="65"/>
      <c r="F93" s="66"/>
      <c r="G93" s="63"/>
      <c r="H93" s="67"/>
      <c r="I93" s="68"/>
      <c r="J93" s="68"/>
      <c r="K93" s="32"/>
      <c r="L93" s="75">
        <v>93</v>
      </c>
      <c r="M93" s="75"/>
      <c r="N93" s="70"/>
      <c r="O93" s="77" t="s">
        <v>179</v>
      </c>
      <c r="P93" s="79">
        <v>45124.500509259262</v>
      </c>
      <c r="Q93" s="77" t="s">
        <v>676</v>
      </c>
      <c r="R93" s="77">
        <v>0</v>
      </c>
      <c r="S93" s="77">
        <v>0</v>
      </c>
      <c r="T93" s="77">
        <v>1</v>
      </c>
      <c r="U93" s="77">
        <v>0</v>
      </c>
      <c r="V93" s="77">
        <v>9</v>
      </c>
      <c r="W93" s="82" t="s">
        <v>1619</v>
      </c>
      <c r="X93" s="80" t="str">
        <f>HYPERLINK("https://www.infogain.com.br/post/criptomoeda")</f>
        <v>https://www.infogain.com.br/post/criptomoeda</v>
      </c>
      <c r="Y93" s="77" t="s">
        <v>2129</v>
      </c>
      <c r="Z93" s="77"/>
      <c r="AA93" s="77" t="s">
        <v>2242</v>
      </c>
      <c r="AB93" s="77" t="s">
        <v>2714</v>
      </c>
      <c r="AC93" s="82" t="s">
        <v>2721</v>
      </c>
      <c r="AD93" s="77" t="s">
        <v>2752</v>
      </c>
      <c r="AE93" s="80" t="str">
        <f>HYPERLINK("https://twitter.com/infogainbrazil/status/1680910403373604866")</f>
        <v>https://twitter.com/infogainbrazil/status/1680910403373604866</v>
      </c>
      <c r="AF93" s="79">
        <v>45124.500509259262</v>
      </c>
      <c r="AG93" s="85">
        <v>45124</v>
      </c>
      <c r="AH93" s="82" t="s">
        <v>2850</v>
      </c>
      <c r="AI93" s="77" t="b">
        <v>0</v>
      </c>
      <c r="AJ93" s="77"/>
      <c r="AK93" s="77"/>
      <c r="AL93" s="77"/>
      <c r="AM93" s="77"/>
      <c r="AN93" s="77"/>
      <c r="AO93" s="77"/>
      <c r="AP93" s="77"/>
      <c r="AQ93" s="77" t="s">
        <v>3868</v>
      </c>
      <c r="AR93" s="77"/>
      <c r="AS93" s="77"/>
      <c r="AT93" s="77"/>
      <c r="AU93" s="77"/>
      <c r="AV93" s="80" t="str">
        <f>HYPERLINK("https://pbs.twimg.com/media/F1PLGo7XgAIfLwb.jpg")</f>
        <v>https://pbs.twimg.com/media/F1PLGo7XgAIfLwb.jpg</v>
      </c>
      <c r="AW93" s="82" t="s">
        <v>4427</v>
      </c>
      <c r="AX93" s="82" t="s">
        <v>4427</v>
      </c>
      <c r="AY93" s="77"/>
      <c r="AZ93" s="82" t="s">
        <v>5615</v>
      </c>
      <c r="BA93" s="82" t="s">
        <v>5615</v>
      </c>
      <c r="BB93" s="82" t="s">
        <v>5615</v>
      </c>
      <c r="BC93" s="82" t="s">
        <v>4427</v>
      </c>
      <c r="BD93" s="82" t="s">
        <v>5894</v>
      </c>
      <c r="BE93" s="77"/>
      <c r="BF93" s="77"/>
      <c r="BG93" s="77"/>
      <c r="BH93" s="77"/>
      <c r="BI93" s="77"/>
    </row>
    <row r="94" spans="1:61" x14ac:dyDescent="0.25">
      <c r="A94" s="62" t="s">
        <v>281</v>
      </c>
      <c r="B94" s="62" t="s">
        <v>281</v>
      </c>
      <c r="C94" s="63"/>
      <c r="D94" s="64"/>
      <c r="E94" s="65"/>
      <c r="F94" s="66"/>
      <c r="G94" s="63"/>
      <c r="H94" s="67"/>
      <c r="I94" s="68"/>
      <c r="J94" s="68"/>
      <c r="K94" s="32"/>
      <c r="L94" s="75">
        <v>94</v>
      </c>
      <c r="M94" s="75"/>
      <c r="N94" s="70"/>
      <c r="O94" s="77" t="s">
        <v>583</v>
      </c>
      <c r="P94" s="79">
        <v>45024.655995370369</v>
      </c>
      <c r="Q94" s="77" t="s">
        <v>677</v>
      </c>
      <c r="R94" s="77">
        <v>0</v>
      </c>
      <c r="S94" s="77">
        <v>1</v>
      </c>
      <c r="T94" s="77">
        <v>0</v>
      </c>
      <c r="U94" s="77">
        <v>0</v>
      </c>
      <c r="V94" s="77">
        <v>8</v>
      </c>
      <c r="W94" s="82" t="s">
        <v>1620</v>
      </c>
      <c r="X94" s="77"/>
      <c r="Y94" s="77"/>
      <c r="Z94" s="77" t="s">
        <v>281</v>
      </c>
      <c r="AA94" s="77" t="s">
        <v>2243</v>
      </c>
      <c r="AB94" s="77" t="s">
        <v>2714</v>
      </c>
      <c r="AC94" s="82" t="s">
        <v>2722</v>
      </c>
      <c r="AD94" s="77" t="s">
        <v>2752</v>
      </c>
      <c r="AE94" s="80" t="str">
        <f>HYPERLINK("https://twitter.com/minteredu/status/1644727961201913856")</f>
        <v>https://twitter.com/minteredu/status/1644727961201913856</v>
      </c>
      <c r="AF94" s="79">
        <v>45024.655995370369</v>
      </c>
      <c r="AG94" s="85">
        <v>45024</v>
      </c>
      <c r="AH94" s="82" t="s">
        <v>2851</v>
      </c>
      <c r="AI94" s="77" t="b">
        <v>0</v>
      </c>
      <c r="AJ94" s="77"/>
      <c r="AK94" s="77"/>
      <c r="AL94" s="77"/>
      <c r="AM94" s="77"/>
      <c r="AN94" s="77"/>
      <c r="AO94" s="77"/>
      <c r="AP94" s="77"/>
      <c r="AQ94" s="77" t="s">
        <v>3869</v>
      </c>
      <c r="AR94" s="77"/>
      <c r="AS94" s="77"/>
      <c r="AT94" s="77"/>
      <c r="AU94" s="77"/>
      <c r="AV94" s="80" t="str">
        <f>HYPERLINK("https://pbs.twimg.com/media/FtM_WpxX0AYiFOl.jpg")</f>
        <v>https://pbs.twimg.com/media/FtM_WpxX0AYiFOl.jpg</v>
      </c>
      <c r="AW94" s="82" t="s">
        <v>4428</v>
      </c>
      <c r="AX94" s="82" t="s">
        <v>5329</v>
      </c>
      <c r="AY94" s="82" t="s">
        <v>5581</v>
      </c>
      <c r="AZ94" s="82" t="s">
        <v>5617</v>
      </c>
      <c r="BA94" s="82" t="s">
        <v>5615</v>
      </c>
      <c r="BB94" s="82" t="s">
        <v>5615</v>
      </c>
      <c r="BC94" s="82" t="s">
        <v>5617</v>
      </c>
      <c r="BD94" s="82" t="s">
        <v>5581</v>
      </c>
      <c r="BE94" s="77"/>
      <c r="BF94" s="77"/>
      <c r="BG94" s="77"/>
      <c r="BH94" s="77"/>
      <c r="BI94" s="77"/>
    </row>
    <row r="95" spans="1:61" x14ac:dyDescent="0.25">
      <c r="A95" s="62" t="s">
        <v>281</v>
      </c>
      <c r="B95" s="62" t="s">
        <v>281</v>
      </c>
      <c r="C95" s="63"/>
      <c r="D95" s="64"/>
      <c r="E95" s="65"/>
      <c r="F95" s="66"/>
      <c r="G95" s="63"/>
      <c r="H95" s="67"/>
      <c r="I95" s="68"/>
      <c r="J95" s="68"/>
      <c r="K95" s="32"/>
      <c r="L95" s="75">
        <v>95</v>
      </c>
      <c r="M95" s="75"/>
      <c r="N95" s="70"/>
      <c r="O95" s="77" t="s">
        <v>586</v>
      </c>
      <c r="P95" s="79">
        <v>45014.657141203701</v>
      </c>
      <c r="Q95" s="77" t="s">
        <v>678</v>
      </c>
      <c r="R95" s="77">
        <v>1</v>
      </c>
      <c r="S95" s="77">
        <v>1</v>
      </c>
      <c r="T95" s="77">
        <v>0</v>
      </c>
      <c r="U95" s="77">
        <v>0</v>
      </c>
      <c r="V95" s="77">
        <v>11</v>
      </c>
      <c r="W95" s="82" t="s">
        <v>1621</v>
      </c>
      <c r="X95" s="77"/>
      <c r="Y95" s="77"/>
      <c r="Z95" s="77" t="s">
        <v>281</v>
      </c>
      <c r="AA95" s="77" t="s">
        <v>2244</v>
      </c>
      <c r="AB95" s="77" t="s">
        <v>2714</v>
      </c>
      <c r="AC95" s="82" t="s">
        <v>2722</v>
      </c>
      <c r="AD95" s="77" t="s">
        <v>2752</v>
      </c>
      <c r="AE95" s="80" t="str">
        <f>HYPERLINK("https://twitter.com/minteredu/status/1641104499824635904")</f>
        <v>https://twitter.com/minteredu/status/1641104499824635904</v>
      </c>
      <c r="AF95" s="79">
        <v>45014.657141203701</v>
      </c>
      <c r="AG95" s="85">
        <v>45014</v>
      </c>
      <c r="AH95" s="82" t="s">
        <v>2852</v>
      </c>
      <c r="AI95" s="77" t="b">
        <v>0</v>
      </c>
      <c r="AJ95" s="77"/>
      <c r="AK95" s="77"/>
      <c r="AL95" s="77"/>
      <c r="AM95" s="77"/>
      <c r="AN95" s="77"/>
      <c r="AO95" s="77"/>
      <c r="AP95" s="77"/>
      <c r="AQ95" s="77" t="s">
        <v>3870</v>
      </c>
      <c r="AR95" s="77"/>
      <c r="AS95" s="77"/>
      <c r="AT95" s="77"/>
      <c r="AU95" s="77"/>
      <c r="AV95" s="80" t="str">
        <f>HYPERLINK("https://pbs.twimg.com/media/FsZf1z1WAAM3W4s.jpg")</f>
        <v>https://pbs.twimg.com/media/FsZf1z1WAAM3W4s.jpg</v>
      </c>
      <c r="AW95" s="82" t="s">
        <v>4429</v>
      </c>
      <c r="AX95" s="82" t="s">
        <v>4429</v>
      </c>
      <c r="AY95" s="77"/>
      <c r="AZ95" s="82" t="s">
        <v>5615</v>
      </c>
      <c r="BA95" s="82" t="s">
        <v>5615</v>
      </c>
      <c r="BB95" s="82" t="s">
        <v>5615</v>
      </c>
      <c r="BC95" s="82" t="s">
        <v>4429</v>
      </c>
      <c r="BD95" s="82" t="s">
        <v>5581</v>
      </c>
      <c r="BE95" s="77"/>
      <c r="BF95" s="77"/>
      <c r="BG95" s="77"/>
      <c r="BH95" s="77"/>
      <c r="BI95" s="77"/>
    </row>
    <row r="96" spans="1:61" x14ac:dyDescent="0.25">
      <c r="A96" s="62" t="s">
        <v>282</v>
      </c>
      <c r="B96" s="62" t="s">
        <v>282</v>
      </c>
      <c r="C96" s="63"/>
      <c r="D96" s="64"/>
      <c r="E96" s="65"/>
      <c r="F96" s="66"/>
      <c r="G96" s="63"/>
      <c r="H96" s="67"/>
      <c r="I96" s="68"/>
      <c r="J96" s="68"/>
      <c r="K96" s="32"/>
      <c r="L96" s="75">
        <v>96</v>
      </c>
      <c r="M96" s="75"/>
      <c r="N96" s="70"/>
      <c r="O96" s="77" t="s">
        <v>179</v>
      </c>
      <c r="P96" s="79">
        <v>44982.005740740744</v>
      </c>
      <c r="Q96" s="77" t="s">
        <v>679</v>
      </c>
      <c r="R96" s="77">
        <v>0</v>
      </c>
      <c r="S96" s="77">
        <v>2</v>
      </c>
      <c r="T96" s="77">
        <v>0</v>
      </c>
      <c r="U96" s="77">
        <v>0</v>
      </c>
      <c r="V96" s="77">
        <v>70</v>
      </c>
      <c r="W96" s="82" t="s">
        <v>1622</v>
      </c>
      <c r="X96" s="77"/>
      <c r="Y96" s="77"/>
      <c r="Z96" s="77"/>
      <c r="AA96" s="77" t="s">
        <v>2245</v>
      </c>
      <c r="AB96" s="77" t="s">
        <v>2713</v>
      </c>
      <c r="AC96" s="82" t="s">
        <v>2719</v>
      </c>
      <c r="AD96" s="77" t="s">
        <v>2753</v>
      </c>
      <c r="AE96" s="80" t="str">
        <f>HYPERLINK("https://twitter.com/tradersaed/status/1629272028774539265")</f>
        <v>https://twitter.com/tradersaed/status/1629272028774539265</v>
      </c>
      <c r="AF96" s="79">
        <v>44982.005740740744</v>
      </c>
      <c r="AG96" s="85">
        <v>44982</v>
      </c>
      <c r="AH96" s="82" t="s">
        <v>2853</v>
      </c>
      <c r="AI96" s="77" t="b">
        <v>0</v>
      </c>
      <c r="AJ96" s="77"/>
      <c r="AK96" s="77"/>
      <c r="AL96" s="77"/>
      <c r="AM96" s="77"/>
      <c r="AN96" s="77"/>
      <c r="AO96" s="77"/>
      <c r="AP96" s="77"/>
      <c r="AQ96" s="77" t="s">
        <v>3871</v>
      </c>
      <c r="AR96" s="77">
        <v>23733</v>
      </c>
      <c r="AS96" s="77"/>
      <c r="AT96" s="77"/>
      <c r="AU96" s="77"/>
      <c r="AV96" s="80" t="str">
        <f>HYPERLINK("https://pbs.twimg.com/ext_tw_video_thumb/1629271989163634689/pu/img/z6m76oChO9iV90iG.jpg")</f>
        <v>https://pbs.twimg.com/ext_tw_video_thumb/1629271989163634689/pu/img/z6m76oChO9iV90iG.jpg</v>
      </c>
      <c r="AW96" s="82" t="s">
        <v>4430</v>
      </c>
      <c r="AX96" s="82" t="s">
        <v>4430</v>
      </c>
      <c r="AY96" s="77"/>
      <c r="AZ96" s="82" t="s">
        <v>5615</v>
      </c>
      <c r="BA96" s="82" t="s">
        <v>5615</v>
      </c>
      <c r="BB96" s="82" t="s">
        <v>5615</v>
      </c>
      <c r="BC96" s="82" t="s">
        <v>4430</v>
      </c>
      <c r="BD96" s="82" t="s">
        <v>5895</v>
      </c>
      <c r="BE96" s="77"/>
      <c r="BF96" s="77"/>
      <c r="BG96" s="77"/>
      <c r="BH96" s="77"/>
      <c r="BI96" s="77"/>
    </row>
    <row r="97" spans="1:61" x14ac:dyDescent="0.25">
      <c r="A97" s="62" t="s">
        <v>283</v>
      </c>
      <c r="B97" s="62" t="s">
        <v>283</v>
      </c>
      <c r="C97" s="63"/>
      <c r="D97" s="64"/>
      <c r="E97" s="65"/>
      <c r="F97" s="66"/>
      <c r="G97" s="63"/>
      <c r="H97" s="67"/>
      <c r="I97" s="68"/>
      <c r="J97" s="68"/>
      <c r="K97" s="32"/>
      <c r="L97" s="75">
        <v>97</v>
      </c>
      <c r="M97" s="75"/>
      <c r="N97" s="70"/>
      <c r="O97" s="77" t="s">
        <v>179</v>
      </c>
      <c r="P97" s="79">
        <v>45008.629432870373</v>
      </c>
      <c r="Q97" s="77" t="s">
        <v>680</v>
      </c>
      <c r="R97" s="77">
        <v>0</v>
      </c>
      <c r="S97" s="77">
        <v>0</v>
      </c>
      <c r="T97" s="77">
        <v>0</v>
      </c>
      <c r="U97" s="77">
        <v>0</v>
      </c>
      <c r="V97" s="77"/>
      <c r="W97" s="82" t="s">
        <v>1623</v>
      </c>
      <c r="X97" s="80" t="str">
        <f>HYPERLINK("https://www.instagram.com/reel/CqIpbGxPLED/?igshid=MDJmNzVkMjY=")</f>
        <v>https://www.instagram.com/reel/CqIpbGxPLED/?igshid=MDJmNzVkMjY=</v>
      </c>
      <c r="Y97" s="77" t="s">
        <v>2130</v>
      </c>
      <c r="Z97" s="77"/>
      <c r="AA97" s="77"/>
      <c r="AB97" s="77"/>
      <c r="AC97" s="82" t="s">
        <v>2719</v>
      </c>
      <c r="AD97" s="77" t="s">
        <v>2752</v>
      </c>
      <c r="AE97" s="80" t="str">
        <f>HYPERLINK("https://twitter.com/irineubere/status/1638920132629090304")</f>
        <v>https://twitter.com/irineubere/status/1638920132629090304</v>
      </c>
      <c r="AF97" s="79">
        <v>45008.629432870373</v>
      </c>
      <c r="AG97" s="85">
        <v>45008</v>
      </c>
      <c r="AH97" s="82" t="s">
        <v>2854</v>
      </c>
      <c r="AI97" s="77" t="b">
        <v>0</v>
      </c>
      <c r="AJ97" s="77"/>
      <c r="AK97" s="77"/>
      <c r="AL97" s="77"/>
      <c r="AM97" s="77"/>
      <c r="AN97" s="77"/>
      <c r="AO97" s="77"/>
      <c r="AP97" s="77"/>
      <c r="AQ97" s="77"/>
      <c r="AR97" s="77"/>
      <c r="AS97" s="77"/>
      <c r="AT97" s="77"/>
      <c r="AU97" s="77"/>
      <c r="AV97" s="80" t="str">
        <f>HYPERLINK("https://pbs.twimg.com/profile_images/1609890382300471297/1HGHH84K_normal.png")</f>
        <v>https://pbs.twimg.com/profile_images/1609890382300471297/1HGHH84K_normal.png</v>
      </c>
      <c r="AW97" s="82" t="s">
        <v>4431</v>
      </c>
      <c r="AX97" s="82" t="s">
        <v>4431</v>
      </c>
      <c r="AY97" s="77"/>
      <c r="AZ97" s="82" t="s">
        <v>5615</v>
      </c>
      <c r="BA97" s="82" t="s">
        <v>5615</v>
      </c>
      <c r="BB97" s="82" t="s">
        <v>5615</v>
      </c>
      <c r="BC97" s="82" t="s">
        <v>4431</v>
      </c>
      <c r="BD97" s="77">
        <v>536380588</v>
      </c>
      <c r="BE97" s="77"/>
      <c r="BF97" s="77"/>
      <c r="BG97" s="77"/>
      <c r="BH97" s="77"/>
      <c r="BI97" s="77"/>
    </row>
    <row r="98" spans="1:61" x14ac:dyDescent="0.25">
      <c r="A98" s="62" t="s">
        <v>284</v>
      </c>
      <c r="B98" s="62" t="s">
        <v>284</v>
      </c>
      <c r="C98" s="63"/>
      <c r="D98" s="64"/>
      <c r="E98" s="65"/>
      <c r="F98" s="66"/>
      <c r="G98" s="63"/>
      <c r="H98" s="67"/>
      <c r="I98" s="68"/>
      <c r="J98" s="68"/>
      <c r="K98" s="32"/>
      <c r="L98" s="75">
        <v>98</v>
      </c>
      <c r="M98" s="75"/>
      <c r="N98" s="70"/>
      <c r="O98" s="77" t="s">
        <v>179</v>
      </c>
      <c r="P98" s="79">
        <v>45039.869097222225</v>
      </c>
      <c r="Q98" s="77" t="s">
        <v>681</v>
      </c>
      <c r="R98" s="77">
        <v>1</v>
      </c>
      <c r="S98" s="77">
        <v>1</v>
      </c>
      <c r="T98" s="77">
        <v>0</v>
      </c>
      <c r="U98" s="77">
        <v>0</v>
      </c>
      <c r="V98" s="77">
        <v>78</v>
      </c>
      <c r="W98" s="82" t="s">
        <v>1624</v>
      </c>
      <c r="X98" s="80" t="str">
        <f>HYPERLINK("http://hotm.art/Formulasdenegocio")</f>
        <v>http://hotm.art/Formulasdenegocio</v>
      </c>
      <c r="Y98" s="77" t="s">
        <v>2135</v>
      </c>
      <c r="Z98" s="77"/>
      <c r="AA98" s="77" t="s">
        <v>2246</v>
      </c>
      <c r="AB98" s="77" t="s">
        <v>2713</v>
      </c>
      <c r="AC98" s="82" t="s">
        <v>2719</v>
      </c>
      <c r="AD98" s="77" t="s">
        <v>2752</v>
      </c>
      <c r="AE98" s="80" t="str">
        <f>HYPERLINK("https://twitter.com/leandrotst39/status/1650241005063491590")</f>
        <v>https://twitter.com/leandrotst39/status/1650241005063491590</v>
      </c>
      <c r="AF98" s="79">
        <v>45039.869097222225</v>
      </c>
      <c r="AG98" s="85">
        <v>45039</v>
      </c>
      <c r="AH98" s="82" t="s">
        <v>2855</v>
      </c>
      <c r="AI98" s="77" t="b">
        <v>0</v>
      </c>
      <c r="AJ98" s="77"/>
      <c r="AK98" s="77"/>
      <c r="AL98" s="77"/>
      <c r="AM98" s="77"/>
      <c r="AN98" s="77"/>
      <c r="AO98" s="77"/>
      <c r="AP98" s="77"/>
      <c r="AQ98" s="77" t="s">
        <v>3872</v>
      </c>
      <c r="AR98" s="77">
        <v>21578</v>
      </c>
      <c r="AS98" s="77"/>
      <c r="AT98" s="77"/>
      <c r="AU98" s="77"/>
      <c r="AV98" s="80" t="str">
        <f>HYPERLINK("https://pbs.twimg.com/ext_tw_video_thumb/1650240952970117126/pu/img/TmCGUDl0HcBROdt-.jpg")</f>
        <v>https://pbs.twimg.com/ext_tw_video_thumb/1650240952970117126/pu/img/TmCGUDl0HcBROdt-.jpg</v>
      </c>
      <c r="AW98" s="82" t="s">
        <v>4432</v>
      </c>
      <c r="AX98" s="82" t="s">
        <v>4432</v>
      </c>
      <c r="AY98" s="77"/>
      <c r="AZ98" s="82" t="s">
        <v>5615</v>
      </c>
      <c r="BA98" s="82" t="s">
        <v>5615</v>
      </c>
      <c r="BB98" s="82" t="s">
        <v>5615</v>
      </c>
      <c r="BC98" s="82" t="s">
        <v>4432</v>
      </c>
      <c r="BD98" s="82" t="s">
        <v>5896</v>
      </c>
      <c r="BE98" s="77"/>
      <c r="BF98" s="77"/>
      <c r="BG98" s="77"/>
      <c r="BH98" s="77"/>
      <c r="BI98" s="77"/>
    </row>
    <row r="99" spans="1:61" x14ac:dyDescent="0.25">
      <c r="A99" s="62" t="s">
        <v>284</v>
      </c>
      <c r="B99" s="62" t="s">
        <v>284</v>
      </c>
      <c r="C99" s="63"/>
      <c r="D99" s="64"/>
      <c r="E99" s="65"/>
      <c r="F99" s="66"/>
      <c r="G99" s="63"/>
      <c r="H99" s="67"/>
      <c r="I99" s="68"/>
      <c r="J99" s="68"/>
      <c r="K99" s="32"/>
      <c r="L99" s="75">
        <v>99</v>
      </c>
      <c r="M99" s="75"/>
      <c r="N99" s="70"/>
      <c r="O99" s="77" t="s">
        <v>179</v>
      </c>
      <c r="P99" s="79">
        <v>45034.715358796297</v>
      </c>
      <c r="Q99" s="77" t="s">
        <v>682</v>
      </c>
      <c r="R99" s="77">
        <v>1</v>
      </c>
      <c r="S99" s="77">
        <v>1</v>
      </c>
      <c r="T99" s="77">
        <v>0</v>
      </c>
      <c r="U99" s="77">
        <v>0</v>
      </c>
      <c r="V99" s="77">
        <v>119</v>
      </c>
      <c r="W99" s="82" t="s">
        <v>1625</v>
      </c>
      <c r="X99" s="80" t="str">
        <f>HYPERLINK("http://hotm.art/Formulasdenegocio")</f>
        <v>http://hotm.art/Formulasdenegocio</v>
      </c>
      <c r="Y99" s="77" t="s">
        <v>2135</v>
      </c>
      <c r="Z99" s="77"/>
      <c r="AA99" s="77" t="s">
        <v>2247</v>
      </c>
      <c r="AB99" s="77" t="s">
        <v>2713</v>
      </c>
      <c r="AC99" s="82" t="s">
        <v>2719</v>
      </c>
      <c r="AD99" s="77" t="s">
        <v>2752</v>
      </c>
      <c r="AE99" s="80" t="str">
        <f>HYPERLINK("https://twitter.com/leandrotst39/status/1648373354657726480")</f>
        <v>https://twitter.com/leandrotst39/status/1648373354657726480</v>
      </c>
      <c r="AF99" s="79">
        <v>45034.715358796297</v>
      </c>
      <c r="AG99" s="85">
        <v>45034</v>
      </c>
      <c r="AH99" s="82" t="s">
        <v>2856</v>
      </c>
      <c r="AI99" s="77" t="b">
        <v>0</v>
      </c>
      <c r="AJ99" s="77"/>
      <c r="AK99" s="77"/>
      <c r="AL99" s="77"/>
      <c r="AM99" s="77"/>
      <c r="AN99" s="77"/>
      <c r="AO99" s="77"/>
      <c r="AP99" s="77"/>
      <c r="AQ99" s="77" t="s">
        <v>3873</v>
      </c>
      <c r="AR99" s="77">
        <v>22801</v>
      </c>
      <c r="AS99" s="77"/>
      <c r="AT99" s="77"/>
      <c r="AU99" s="77"/>
      <c r="AV99" s="80" t="str">
        <f>HYPERLINK("https://pbs.twimg.com/ext_tw_video_thumb/1648373291697029121/pu/img/SqWJ750IE_1A4WDc.jpg")</f>
        <v>https://pbs.twimg.com/ext_tw_video_thumb/1648373291697029121/pu/img/SqWJ750IE_1A4WDc.jpg</v>
      </c>
      <c r="AW99" s="82" t="s">
        <v>4433</v>
      </c>
      <c r="AX99" s="82" t="s">
        <v>4433</v>
      </c>
      <c r="AY99" s="77"/>
      <c r="AZ99" s="82" t="s">
        <v>5615</v>
      </c>
      <c r="BA99" s="82" t="s">
        <v>5615</v>
      </c>
      <c r="BB99" s="82" t="s">
        <v>5615</v>
      </c>
      <c r="BC99" s="82" t="s">
        <v>4433</v>
      </c>
      <c r="BD99" s="82" t="s">
        <v>5896</v>
      </c>
      <c r="BE99" s="77"/>
      <c r="BF99" s="77"/>
      <c r="BG99" s="77"/>
      <c r="BH99" s="77"/>
      <c r="BI99" s="77"/>
    </row>
    <row r="100" spans="1:61" x14ac:dyDescent="0.25">
      <c r="A100" s="62" t="s">
        <v>285</v>
      </c>
      <c r="B100" s="62" t="s">
        <v>285</v>
      </c>
      <c r="C100" s="63"/>
      <c r="D100" s="64"/>
      <c r="E100" s="65"/>
      <c r="F100" s="66"/>
      <c r="G100" s="63"/>
      <c r="H100" s="67"/>
      <c r="I100" s="68"/>
      <c r="J100" s="68"/>
      <c r="K100" s="32"/>
      <c r="L100" s="75">
        <v>100</v>
      </c>
      <c r="M100" s="75"/>
      <c r="N100" s="70"/>
      <c r="O100" s="77" t="s">
        <v>583</v>
      </c>
      <c r="P100" s="79">
        <v>45100.460266203707</v>
      </c>
      <c r="Q100" s="77" t="s">
        <v>683</v>
      </c>
      <c r="R100" s="77">
        <v>0</v>
      </c>
      <c r="S100" s="77">
        <v>0</v>
      </c>
      <c r="T100" s="77">
        <v>0</v>
      </c>
      <c r="U100" s="77">
        <v>0</v>
      </c>
      <c r="V100" s="77">
        <v>7</v>
      </c>
      <c r="W100" s="82" t="s">
        <v>1626</v>
      </c>
      <c r="X100" s="77"/>
      <c r="Y100" s="77"/>
      <c r="Z100" s="77"/>
      <c r="AA100" s="77"/>
      <c r="AB100" s="77"/>
      <c r="AC100" s="82" t="s">
        <v>2728</v>
      </c>
      <c r="AD100" s="77" t="s">
        <v>2752</v>
      </c>
      <c r="AE100" s="80" t="str">
        <f>HYPERLINK("https://twitter.com/cryptoportugal1/status/1672198510353973249")</f>
        <v>https://twitter.com/cryptoportugal1/status/1672198510353973249</v>
      </c>
      <c r="AF100" s="79">
        <v>45100.460266203707</v>
      </c>
      <c r="AG100" s="85">
        <v>45100</v>
      </c>
      <c r="AH100" s="82" t="s">
        <v>2857</v>
      </c>
      <c r="AI100" s="77"/>
      <c r="AJ100" s="77"/>
      <c r="AK100" s="77"/>
      <c r="AL100" s="77"/>
      <c r="AM100" s="77"/>
      <c r="AN100" s="77"/>
      <c r="AO100" s="77"/>
      <c r="AP100" s="77"/>
      <c r="AQ100" s="77"/>
      <c r="AR100" s="77"/>
      <c r="AS100" s="77"/>
      <c r="AT100" s="77"/>
      <c r="AU100" s="77"/>
      <c r="AV100" s="80" t="str">
        <f>HYPERLINK("https://pbs.twimg.com/profile_images/1643925398399451136/Bn5Zj9zT_normal.jpg")</f>
        <v>https://pbs.twimg.com/profile_images/1643925398399451136/Bn5Zj9zT_normal.jpg</v>
      </c>
      <c r="AW100" s="82" t="s">
        <v>4434</v>
      </c>
      <c r="AX100" s="82" t="s">
        <v>4435</v>
      </c>
      <c r="AY100" s="82" t="s">
        <v>5582</v>
      </c>
      <c r="AZ100" s="82" t="s">
        <v>5618</v>
      </c>
      <c r="BA100" s="82" t="s">
        <v>5615</v>
      </c>
      <c r="BB100" s="82" t="s">
        <v>5615</v>
      </c>
      <c r="BC100" s="82" t="s">
        <v>5618</v>
      </c>
      <c r="BD100" s="82" t="s">
        <v>5582</v>
      </c>
      <c r="BE100" s="77"/>
      <c r="BF100" s="77"/>
      <c r="BG100" s="77"/>
      <c r="BH100" s="77"/>
      <c r="BI100" s="77"/>
    </row>
    <row r="101" spans="1:61" x14ac:dyDescent="0.25">
      <c r="A101" s="62" t="s">
        <v>285</v>
      </c>
      <c r="B101" s="62" t="s">
        <v>285</v>
      </c>
      <c r="C101" s="63"/>
      <c r="D101" s="64"/>
      <c r="E101" s="65"/>
      <c r="F101" s="66"/>
      <c r="G101" s="63"/>
      <c r="H101" s="67"/>
      <c r="I101" s="68"/>
      <c r="J101" s="68"/>
      <c r="K101" s="32"/>
      <c r="L101" s="75">
        <v>101</v>
      </c>
      <c r="M101" s="75"/>
      <c r="N101" s="70"/>
      <c r="O101" s="77" t="s">
        <v>179</v>
      </c>
      <c r="P101" s="79">
        <v>45100.460231481484</v>
      </c>
      <c r="Q101" s="77" t="s">
        <v>684</v>
      </c>
      <c r="R101" s="77">
        <v>0</v>
      </c>
      <c r="S101" s="77">
        <v>1</v>
      </c>
      <c r="T101" s="77">
        <v>1</v>
      </c>
      <c r="U101" s="77">
        <v>0</v>
      </c>
      <c r="V101" s="77">
        <v>16</v>
      </c>
      <c r="W101" s="82" t="s">
        <v>1627</v>
      </c>
      <c r="X101" s="77"/>
      <c r="Y101" s="77"/>
      <c r="Z101" s="77"/>
      <c r="AA101" s="77" t="s">
        <v>2248</v>
      </c>
      <c r="AB101" s="77" t="s">
        <v>2714</v>
      </c>
      <c r="AC101" s="82" t="s">
        <v>2728</v>
      </c>
      <c r="AD101" s="77" t="s">
        <v>2752</v>
      </c>
      <c r="AE101" s="80" t="str">
        <f>HYPERLINK("https://twitter.com/cryptoportugal1/status/1672198499864125441")</f>
        <v>https://twitter.com/cryptoportugal1/status/1672198499864125441</v>
      </c>
      <c r="AF101" s="79">
        <v>45100.460231481484</v>
      </c>
      <c r="AG101" s="85">
        <v>45100</v>
      </c>
      <c r="AH101" s="82" t="s">
        <v>2858</v>
      </c>
      <c r="AI101" s="77" t="b">
        <v>0</v>
      </c>
      <c r="AJ101" s="77"/>
      <c r="AK101" s="77"/>
      <c r="AL101" s="77"/>
      <c r="AM101" s="77"/>
      <c r="AN101" s="77"/>
      <c r="AO101" s="77"/>
      <c r="AP101" s="77"/>
      <c r="AQ101" s="77" t="s">
        <v>3874</v>
      </c>
      <c r="AR101" s="77"/>
      <c r="AS101" s="77"/>
      <c r="AT101" s="77"/>
      <c r="AU101" s="77"/>
      <c r="AV101" s="80" t="str">
        <f>HYPERLINK("https://pbs.twimg.com/media/FzTXq2UWwAET3x-.jpg")</f>
        <v>https://pbs.twimg.com/media/FzTXq2UWwAET3x-.jpg</v>
      </c>
      <c r="AW101" s="82" t="s">
        <v>4435</v>
      </c>
      <c r="AX101" s="82" t="s">
        <v>4435</v>
      </c>
      <c r="AY101" s="77"/>
      <c r="AZ101" s="82" t="s">
        <v>5615</v>
      </c>
      <c r="BA101" s="82" t="s">
        <v>5615</v>
      </c>
      <c r="BB101" s="82" t="s">
        <v>5615</v>
      </c>
      <c r="BC101" s="82" t="s">
        <v>4435</v>
      </c>
      <c r="BD101" s="82" t="s">
        <v>5582</v>
      </c>
      <c r="BE101" s="77"/>
      <c r="BF101" s="77"/>
      <c r="BG101" s="77"/>
      <c r="BH101" s="77"/>
      <c r="BI101" s="77"/>
    </row>
    <row r="102" spans="1:61" x14ac:dyDescent="0.25">
      <c r="A102" s="62" t="s">
        <v>286</v>
      </c>
      <c r="B102" s="62" t="s">
        <v>286</v>
      </c>
      <c r="C102" s="63"/>
      <c r="D102" s="64"/>
      <c r="E102" s="65"/>
      <c r="F102" s="66"/>
      <c r="G102" s="63"/>
      <c r="H102" s="67"/>
      <c r="I102" s="68"/>
      <c r="J102" s="68"/>
      <c r="K102" s="32"/>
      <c r="L102" s="75">
        <v>102</v>
      </c>
      <c r="M102" s="75"/>
      <c r="N102" s="70"/>
      <c r="O102" s="77" t="s">
        <v>179</v>
      </c>
      <c r="P102" s="79">
        <v>45105.632118055553</v>
      </c>
      <c r="Q102" s="77" t="s">
        <v>685</v>
      </c>
      <c r="R102" s="77">
        <v>0</v>
      </c>
      <c r="S102" s="77">
        <v>0</v>
      </c>
      <c r="T102" s="77">
        <v>0</v>
      </c>
      <c r="U102" s="77">
        <v>0</v>
      </c>
      <c r="V102" s="77">
        <v>34</v>
      </c>
      <c r="W102" s="82" t="s">
        <v>1550</v>
      </c>
      <c r="X102" s="77"/>
      <c r="Y102" s="77"/>
      <c r="Z102" s="77"/>
      <c r="AA102" s="77" t="s">
        <v>2249</v>
      </c>
      <c r="AB102" s="77" t="s">
        <v>2714</v>
      </c>
      <c r="AC102" s="82" t="s">
        <v>2719</v>
      </c>
      <c r="AD102" s="77" t="s">
        <v>2754</v>
      </c>
      <c r="AE102" s="80" t="str">
        <f>HYPERLINK("https://twitter.com/arielyaari44402/status/1674072727752253441")</f>
        <v>https://twitter.com/arielyaari44402/status/1674072727752253441</v>
      </c>
      <c r="AF102" s="79">
        <v>45105.632118055553</v>
      </c>
      <c r="AG102" s="85">
        <v>45105</v>
      </c>
      <c r="AH102" s="82" t="s">
        <v>2859</v>
      </c>
      <c r="AI102" s="77" t="b">
        <v>0</v>
      </c>
      <c r="AJ102" s="77"/>
      <c r="AK102" s="77"/>
      <c r="AL102" s="77"/>
      <c r="AM102" s="77"/>
      <c r="AN102" s="77"/>
      <c r="AO102" s="77"/>
      <c r="AP102" s="77"/>
      <c r="AQ102" s="77" t="s">
        <v>3875</v>
      </c>
      <c r="AR102" s="77"/>
      <c r="AS102" s="77"/>
      <c r="AT102" s="77"/>
      <c r="AU102" s="77"/>
      <c r="AV102" s="80" t="str">
        <f>HYPERLINK("https://pbs.twimg.com/media/FzuAQ-2WYAAoq2G.jpg")</f>
        <v>https://pbs.twimg.com/media/FzuAQ-2WYAAoq2G.jpg</v>
      </c>
      <c r="AW102" s="82" t="s">
        <v>4436</v>
      </c>
      <c r="AX102" s="82" t="s">
        <v>4436</v>
      </c>
      <c r="AY102" s="77"/>
      <c r="AZ102" s="82" t="s">
        <v>5615</v>
      </c>
      <c r="BA102" s="82" t="s">
        <v>5615</v>
      </c>
      <c r="BB102" s="82" t="s">
        <v>5615</v>
      </c>
      <c r="BC102" s="82" t="s">
        <v>4436</v>
      </c>
      <c r="BD102" s="82" t="s">
        <v>5897</v>
      </c>
      <c r="BE102" s="77"/>
      <c r="BF102" s="77"/>
      <c r="BG102" s="77"/>
      <c r="BH102" s="77"/>
      <c r="BI102" s="77"/>
    </row>
    <row r="103" spans="1:61" x14ac:dyDescent="0.25">
      <c r="A103" s="62" t="s">
        <v>287</v>
      </c>
      <c r="B103" s="62" t="s">
        <v>287</v>
      </c>
      <c r="C103" s="63"/>
      <c r="D103" s="64"/>
      <c r="E103" s="65"/>
      <c r="F103" s="66"/>
      <c r="G103" s="63"/>
      <c r="H103" s="67"/>
      <c r="I103" s="68"/>
      <c r="J103" s="68"/>
      <c r="K103" s="32"/>
      <c r="L103" s="75">
        <v>103</v>
      </c>
      <c r="M103" s="75"/>
      <c r="N103" s="70"/>
      <c r="O103" s="77" t="s">
        <v>179</v>
      </c>
      <c r="P103" s="79">
        <v>44937.625879629632</v>
      </c>
      <c r="Q103" s="77" t="s">
        <v>686</v>
      </c>
      <c r="R103" s="77">
        <v>0</v>
      </c>
      <c r="S103" s="77">
        <v>0</v>
      </c>
      <c r="T103" s="77">
        <v>0</v>
      </c>
      <c r="U103" s="77">
        <v>0</v>
      </c>
      <c r="V103" s="77">
        <v>40</v>
      </c>
      <c r="W103" s="82" t="s">
        <v>1628</v>
      </c>
      <c r="X103" s="77"/>
      <c r="Y103" s="77"/>
      <c r="Z103" s="77"/>
      <c r="AA103" s="77"/>
      <c r="AB103" s="77"/>
      <c r="AC103" s="82" t="s">
        <v>2720</v>
      </c>
      <c r="AD103" s="77" t="s">
        <v>2752</v>
      </c>
      <c r="AE103" s="80" t="str">
        <f>HYPERLINK("https://twitter.com/vendas0nline_/status/1613189306356584448")</f>
        <v>https://twitter.com/vendas0nline_/status/1613189306356584448</v>
      </c>
      <c r="AF103" s="79">
        <v>44937.625879629632</v>
      </c>
      <c r="AG103" s="85">
        <v>44937</v>
      </c>
      <c r="AH103" s="82" t="s">
        <v>2860</v>
      </c>
      <c r="AI103" s="77"/>
      <c r="AJ103" s="77"/>
      <c r="AK103" s="77"/>
      <c r="AL103" s="77"/>
      <c r="AM103" s="77"/>
      <c r="AN103" s="77"/>
      <c r="AO103" s="77"/>
      <c r="AP103" s="77"/>
      <c r="AQ103" s="77"/>
      <c r="AR103" s="77"/>
      <c r="AS103" s="77"/>
      <c r="AT103" s="77"/>
      <c r="AU103" s="77"/>
      <c r="AV103" s="80" t="str">
        <f>HYPERLINK("https://pbs.twimg.com/profile_images/1608549624301731842/L6RXRGAk_normal.jpg")</f>
        <v>https://pbs.twimg.com/profile_images/1608549624301731842/L6RXRGAk_normal.jpg</v>
      </c>
      <c r="AW103" s="82" t="s">
        <v>4437</v>
      </c>
      <c r="AX103" s="82" t="s">
        <v>4437</v>
      </c>
      <c r="AY103" s="77"/>
      <c r="AZ103" s="82" t="s">
        <v>5615</v>
      </c>
      <c r="BA103" s="82" t="s">
        <v>5615</v>
      </c>
      <c r="BB103" s="82" t="s">
        <v>5615</v>
      </c>
      <c r="BC103" s="82" t="s">
        <v>4437</v>
      </c>
      <c r="BD103" s="82" t="s">
        <v>5898</v>
      </c>
      <c r="BE103" s="77"/>
      <c r="BF103" s="77"/>
      <c r="BG103" s="77"/>
      <c r="BH103" s="77"/>
      <c r="BI103" s="77"/>
    </row>
    <row r="104" spans="1:61" x14ac:dyDescent="0.25">
      <c r="A104" s="62" t="s">
        <v>287</v>
      </c>
      <c r="B104" s="62" t="s">
        <v>287</v>
      </c>
      <c r="C104" s="63"/>
      <c r="D104" s="64"/>
      <c r="E104" s="65"/>
      <c r="F104" s="66"/>
      <c r="G104" s="63"/>
      <c r="H104" s="67"/>
      <c r="I104" s="68"/>
      <c r="J104" s="68"/>
      <c r="K104" s="32"/>
      <c r="L104" s="75">
        <v>104</v>
      </c>
      <c r="M104" s="75"/>
      <c r="N104" s="70"/>
      <c r="O104" s="77" t="s">
        <v>179</v>
      </c>
      <c r="P104" s="79">
        <v>44936.592557870368</v>
      </c>
      <c r="Q104" s="77" t="s">
        <v>687</v>
      </c>
      <c r="R104" s="77">
        <v>0</v>
      </c>
      <c r="S104" s="77">
        <v>0</v>
      </c>
      <c r="T104" s="77">
        <v>0</v>
      </c>
      <c r="U104" s="77">
        <v>0</v>
      </c>
      <c r="V104" s="77">
        <v>65</v>
      </c>
      <c r="W104" s="82" t="s">
        <v>1629</v>
      </c>
      <c r="X104" s="77"/>
      <c r="Y104" s="77"/>
      <c r="Z104" s="77"/>
      <c r="AA104" s="77" t="s">
        <v>2250</v>
      </c>
      <c r="AB104" s="77" t="s">
        <v>2713</v>
      </c>
      <c r="AC104" s="82" t="s">
        <v>2720</v>
      </c>
      <c r="AD104" s="77" t="s">
        <v>2752</v>
      </c>
      <c r="AE104" s="80" t="str">
        <f>HYPERLINK("https://twitter.com/vendas0nline_/status/1612814842896736259")</f>
        <v>https://twitter.com/vendas0nline_/status/1612814842896736259</v>
      </c>
      <c r="AF104" s="79">
        <v>44936.592557870368</v>
      </c>
      <c r="AG104" s="85">
        <v>44936</v>
      </c>
      <c r="AH104" s="82" t="s">
        <v>2861</v>
      </c>
      <c r="AI104" s="77" t="b">
        <v>0</v>
      </c>
      <c r="AJ104" s="77"/>
      <c r="AK104" s="77"/>
      <c r="AL104" s="77"/>
      <c r="AM104" s="77"/>
      <c r="AN104" s="77"/>
      <c r="AO104" s="77"/>
      <c r="AP104" s="77"/>
      <c r="AQ104" s="77" t="s">
        <v>3876</v>
      </c>
      <c r="AR104" s="77">
        <v>31541</v>
      </c>
      <c r="AS104" s="77"/>
      <c r="AT104" s="77"/>
      <c r="AU104" s="77"/>
      <c r="AV104" s="80" t="str">
        <f>HYPERLINK("https://pbs.twimg.com/ext_tw_video_thumb/1612814747019214849/pu/img/eY3XU2A8QRHp8lwJ.jpg")</f>
        <v>https://pbs.twimg.com/ext_tw_video_thumb/1612814747019214849/pu/img/eY3XU2A8QRHp8lwJ.jpg</v>
      </c>
      <c r="AW104" s="82" t="s">
        <v>4438</v>
      </c>
      <c r="AX104" s="82" t="s">
        <v>4438</v>
      </c>
      <c r="AY104" s="77"/>
      <c r="AZ104" s="82" t="s">
        <v>5615</v>
      </c>
      <c r="BA104" s="82" t="s">
        <v>5615</v>
      </c>
      <c r="BB104" s="82" t="s">
        <v>5615</v>
      </c>
      <c r="BC104" s="82" t="s">
        <v>4438</v>
      </c>
      <c r="BD104" s="82" t="s">
        <v>5898</v>
      </c>
      <c r="BE104" s="77"/>
      <c r="BF104" s="77"/>
      <c r="BG104" s="77"/>
      <c r="BH104" s="77"/>
      <c r="BI104" s="77"/>
    </row>
    <row r="105" spans="1:61" x14ac:dyDescent="0.25">
      <c r="A105" s="62" t="s">
        <v>288</v>
      </c>
      <c r="B105" s="62" t="s">
        <v>288</v>
      </c>
      <c r="C105" s="63"/>
      <c r="D105" s="64"/>
      <c r="E105" s="65"/>
      <c r="F105" s="66"/>
      <c r="G105" s="63"/>
      <c r="H105" s="67"/>
      <c r="I105" s="68"/>
      <c r="J105" s="68"/>
      <c r="K105" s="32"/>
      <c r="L105" s="75">
        <v>105</v>
      </c>
      <c r="M105" s="75"/>
      <c r="N105" s="70"/>
      <c r="O105" s="77" t="s">
        <v>179</v>
      </c>
      <c r="P105" s="79">
        <v>44996.787476851852</v>
      </c>
      <c r="Q105" s="77" t="s">
        <v>688</v>
      </c>
      <c r="R105" s="77">
        <v>0</v>
      </c>
      <c r="S105" s="77">
        <v>1</v>
      </c>
      <c r="T105" s="77">
        <v>1</v>
      </c>
      <c r="U105" s="77">
        <v>0</v>
      </c>
      <c r="V105" s="77">
        <v>20</v>
      </c>
      <c r="W105" s="82" t="s">
        <v>1630</v>
      </c>
      <c r="X105" s="77"/>
      <c r="Y105" s="77"/>
      <c r="Z105" s="77"/>
      <c r="AA105" s="77" t="s">
        <v>2251</v>
      </c>
      <c r="AB105" s="77" t="s">
        <v>2713</v>
      </c>
      <c r="AC105" s="82" t="s">
        <v>2719</v>
      </c>
      <c r="AD105" s="77" t="s">
        <v>2758</v>
      </c>
      <c r="AE105" s="80" t="str">
        <f>HYPERLINK("https://twitter.com/luiswolftigre/status/1634628747784486918")</f>
        <v>https://twitter.com/luiswolftigre/status/1634628747784486918</v>
      </c>
      <c r="AF105" s="79">
        <v>44996.787476851852</v>
      </c>
      <c r="AG105" s="85">
        <v>44996</v>
      </c>
      <c r="AH105" s="82" t="s">
        <v>2862</v>
      </c>
      <c r="AI105" s="77" t="b">
        <v>0</v>
      </c>
      <c r="AJ105" s="77" t="s">
        <v>3736</v>
      </c>
      <c r="AK105" s="77" t="s">
        <v>3752</v>
      </c>
      <c r="AL105" s="77" t="s">
        <v>3755</v>
      </c>
      <c r="AM105" s="77" t="s">
        <v>3760</v>
      </c>
      <c r="AN105" s="77" t="s">
        <v>3776</v>
      </c>
      <c r="AO105" s="77" t="s">
        <v>3794</v>
      </c>
      <c r="AP105" s="77" t="s">
        <v>3808</v>
      </c>
      <c r="AQ105" s="77" t="s">
        <v>3877</v>
      </c>
      <c r="AR105" s="77">
        <v>32866</v>
      </c>
      <c r="AS105" s="77"/>
      <c r="AT105" s="77"/>
      <c r="AU105" s="77"/>
      <c r="AV105" s="80" t="str">
        <f>HYPERLINK("https://pbs.twimg.com/ext_tw_video_thumb/1634628655564353538/pu/img/w88M5ZTP0eniGEtb.jpg")</f>
        <v>https://pbs.twimg.com/ext_tw_video_thumb/1634628655564353538/pu/img/w88M5ZTP0eniGEtb.jpg</v>
      </c>
      <c r="AW105" s="82" t="s">
        <v>4439</v>
      </c>
      <c r="AX105" s="82" t="s">
        <v>4439</v>
      </c>
      <c r="AY105" s="77"/>
      <c r="AZ105" s="82" t="s">
        <v>5615</v>
      </c>
      <c r="BA105" s="82" t="s">
        <v>5615</v>
      </c>
      <c r="BB105" s="82" t="s">
        <v>5615</v>
      </c>
      <c r="BC105" s="82" t="s">
        <v>4439</v>
      </c>
      <c r="BD105" s="82" t="s">
        <v>5899</v>
      </c>
      <c r="BE105" s="77"/>
      <c r="BF105" s="77"/>
      <c r="BG105" s="77"/>
      <c r="BH105" s="77"/>
      <c r="BI105" s="77"/>
    </row>
    <row r="106" spans="1:61" x14ac:dyDescent="0.25">
      <c r="A106" s="62" t="s">
        <v>288</v>
      </c>
      <c r="B106" s="62" t="s">
        <v>288</v>
      </c>
      <c r="C106" s="63"/>
      <c r="D106" s="64"/>
      <c r="E106" s="65"/>
      <c r="F106" s="66"/>
      <c r="G106" s="63"/>
      <c r="H106" s="67"/>
      <c r="I106" s="68"/>
      <c r="J106" s="68"/>
      <c r="K106" s="32"/>
      <c r="L106" s="75">
        <v>106</v>
      </c>
      <c r="M106" s="75"/>
      <c r="N106" s="70"/>
      <c r="O106" s="77" t="s">
        <v>179</v>
      </c>
      <c r="P106" s="79">
        <v>44995.940254629626</v>
      </c>
      <c r="Q106" s="77" t="s">
        <v>689</v>
      </c>
      <c r="R106" s="77">
        <v>0</v>
      </c>
      <c r="S106" s="77">
        <v>1</v>
      </c>
      <c r="T106" s="77">
        <v>1</v>
      </c>
      <c r="U106" s="77">
        <v>0</v>
      </c>
      <c r="V106" s="77">
        <v>19</v>
      </c>
      <c r="W106" s="82" t="s">
        <v>1631</v>
      </c>
      <c r="X106" s="77"/>
      <c r="Y106" s="77"/>
      <c r="Z106" s="77"/>
      <c r="AA106" s="77" t="s">
        <v>2252</v>
      </c>
      <c r="AB106" s="77" t="s">
        <v>2713</v>
      </c>
      <c r="AC106" s="82" t="s">
        <v>2719</v>
      </c>
      <c r="AD106" s="77" t="s">
        <v>2758</v>
      </c>
      <c r="AE106" s="80" t="str">
        <f>HYPERLINK("https://twitter.com/luiswolftigre/status/1634321724496814081")</f>
        <v>https://twitter.com/luiswolftigre/status/1634321724496814081</v>
      </c>
      <c r="AF106" s="79">
        <v>44995.940254629626</v>
      </c>
      <c r="AG106" s="85">
        <v>44995</v>
      </c>
      <c r="AH106" s="82" t="s">
        <v>2863</v>
      </c>
      <c r="AI106" s="77" t="b">
        <v>0</v>
      </c>
      <c r="AJ106" s="77" t="s">
        <v>3736</v>
      </c>
      <c r="AK106" s="77" t="s">
        <v>3752</v>
      </c>
      <c r="AL106" s="77" t="s">
        <v>3755</v>
      </c>
      <c r="AM106" s="77" t="s">
        <v>3760</v>
      </c>
      <c r="AN106" s="77" t="s">
        <v>3776</v>
      </c>
      <c r="AO106" s="77" t="s">
        <v>3794</v>
      </c>
      <c r="AP106" s="77" t="s">
        <v>3808</v>
      </c>
      <c r="AQ106" s="77" t="s">
        <v>3878</v>
      </c>
      <c r="AR106" s="77">
        <v>16500</v>
      </c>
      <c r="AS106" s="77"/>
      <c r="AT106" s="77"/>
      <c r="AU106" s="77"/>
      <c r="AV106" s="80" t="str">
        <f>HYPERLINK("https://pbs.twimg.com/ext_tw_video_thumb/1634321670012846081/pu/img/zjuzHX9JFKJXjTCC.jpg")</f>
        <v>https://pbs.twimg.com/ext_tw_video_thumb/1634321670012846081/pu/img/zjuzHX9JFKJXjTCC.jpg</v>
      </c>
      <c r="AW106" s="82" t="s">
        <v>4440</v>
      </c>
      <c r="AX106" s="82" t="s">
        <v>4440</v>
      </c>
      <c r="AY106" s="77"/>
      <c r="AZ106" s="82" t="s">
        <v>5615</v>
      </c>
      <c r="BA106" s="82" t="s">
        <v>5615</v>
      </c>
      <c r="BB106" s="82" t="s">
        <v>5615</v>
      </c>
      <c r="BC106" s="82" t="s">
        <v>4440</v>
      </c>
      <c r="BD106" s="82" t="s">
        <v>5899</v>
      </c>
      <c r="BE106" s="77"/>
      <c r="BF106" s="77"/>
      <c r="BG106" s="77"/>
      <c r="BH106" s="77"/>
      <c r="BI106" s="77"/>
    </row>
    <row r="107" spans="1:61" x14ac:dyDescent="0.25">
      <c r="A107" s="62" t="s">
        <v>288</v>
      </c>
      <c r="B107" s="62" t="s">
        <v>288</v>
      </c>
      <c r="C107" s="63"/>
      <c r="D107" s="64"/>
      <c r="E107" s="65"/>
      <c r="F107" s="66"/>
      <c r="G107" s="63"/>
      <c r="H107" s="67"/>
      <c r="I107" s="68"/>
      <c r="J107" s="68"/>
      <c r="K107" s="32"/>
      <c r="L107" s="75">
        <v>107</v>
      </c>
      <c r="M107" s="75"/>
      <c r="N107" s="70"/>
      <c r="O107" s="77" t="s">
        <v>179</v>
      </c>
      <c r="P107" s="79">
        <v>45000.106724537036</v>
      </c>
      <c r="Q107" s="77" t="s">
        <v>690</v>
      </c>
      <c r="R107" s="77">
        <v>0</v>
      </c>
      <c r="S107" s="77">
        <v>1</v>
      </c>
      <c r="T107" s="77">
        <v>1</v>
      </c>
      <c r="U107" s="77">
        <v>0</v>
      </c>
      <c r="V107" s="77">
        <v>108</v>
      </c>
      <c r="W107" s="82" t="s">
        <v>1632</v>
      </c>
      <c r="X107" s="77"/>
      <c r="Y107" s="77"/>
      <c r="Z107" s="77"/>
      <c r="AA107" s="77" t="s">
        <v>2253</v>
      </c>
      <c r="AB107" s="77" t="s">
        <v>2713</v>
      </c>
      <c r="AC107" s="82" t="s">
        <v>2719</v>
      </c>
      <c r="AD107" s="77" t="s">
        <v>2752</v>
      </c>
      <c r="AE107" s="80" t="str">
        <f>HYPERLINK("https://twitter.com/luiswolftigre/status/1635831602990182404")</f>
        <v>https://twitter.com/luiswolftigre/status/1635831602990182404</v>
      </c>
      <c r="AF107" s="79">
        <v>45000.106724537036</v>
      </c>
      <c r="AG107" s="85">
        <v>45000</v>
      </c>
      <c r="AH107" s="82" t="s">
        <v>2864</v>
      </c>
      <c r="AI107" s="77" t="b">
        <v>0</v>
      </c>
      <c r="AJ107" s="77" t="s">
        <v>3736</v>
      </c>
      <c r="AK107" s="77" t="s">
        <v>3752</v>
      </c>
      <c r="AL107" s="77" t="s">
        <v>3755</v>
      </c>
      <c r="AM107" s="77" t="s">
        <v>3760</v>
      </c>
      <c r="AN107" s="77" t="s">
        <v>3776</v>
      </c>
      <c r="AO107" s="77" t="s">
        <v>3794</v>
      </c>
      <c r="AP107" s="77" t="s">
        <v>3808</v>
      </c>
      <c r="AQ107" s="77" t="s">
        <v>3879</v>
      </c>
      <c r="AR107" s="77">
        <v>31415</v>
      </c>
      <c r="AS107" s="77"/>
      <c r="AT107" s="77"/>
      <c r="AU107" s="77"/>
      <c r="AV107" s="80" t="str">
        <f>HYPERLINK("https://pbs.twimg.com/ext_tw_video_thumb/1635831552495034370/pu/img/WrS7f9Bt25YwwuCs.jpg")</f>
        <v>https://pbs.twimg.com/ext_tw_video_thumb/1635831552495034370/pu/img/WrS7f9Bt25YwwuCs.jpg</v>
      </c>
      <c r="AW107" s="82" t="s">
        <v>4441</v>
      </c>
      <c r="AX107" s="82" t="s">
        <v>4441</v>
      </c>
      <c r="AY107" s="77"/>
      <c r="AZ107" s="82" t="s">
        <v>5615</v>
      </c>
      <c r="BA107" s="82" t="s">
        <v>5615</v>
      </c>
      <c r="BB107" s="82" t="s">
        <v>5615</v>
      </c>
      <c r="BC107" s="82" t="s">
        <v>4441</v>
      </c>
      <c r="BD107" s="82" t="s">
        <v>5899</v>
      </c>
      <c r="BE107" s="77"/>
      <c r="BF107" s="77"/>
      <c r="BG107" s="77"/>
      <c r="BH107" s="77"/>
      <c r="BI107" s="77"/>
    </row>
    <row r="108" spans="1:61" x14ac:dyDescent="0.25">
      <c r="A108" s="62" t="s">
        <v>288</v>
      </c>
      <c r="B108" s="62" t="s">
        <v>288</v>
      </c>
      <c r="C108" s="63"/>
      <c r="D108" s="64"/>
      <c r="E108" s="65"/>
      <c r="F108" s="66"/>
      <c r="G108" s="63"/>
      <c r="H108" s="67"/>
      <c r="I108" s="68"/>
      <c r="J108" s="68"/>
      <c r="K108" s="32"/>
      <c r="L108" s="75">
        <v>108</v>
      </c>
      <c r="M108" s="75"/>
      <c r="N108" s="70"/>
      <c r="O108" s="77" t="s">
        <v>179</v>
      </c>
      <c r="P108" s="79">
        <v>44999.95994212963</v>
      </c>
      <c r="Q108" s="77" t="s">
        <v>691</v>
      </c>
      <c r="R108" s="77">
        <v>0</v>
      </c>
      <c r="S108" s="77">
        <v>1</v>
      </c>
      <c r="T108" s="77">
        <v>1</v>
      </c>
      <c r="U108" s="77">
        <v>0</v>
      </c>
      <c r="V108" s="77">
        <v>14</v>
      </c>
      <c r="W108" s="82" t="s">
        <v>1633</v>
      </c>
      <c r="X108" s="77"/>
      <c r="Y108" s="77"/>
      <c r="Z108" s="77"/>
      <c r="AA108" s="77" t="s">
        <v>2254</v>
      </c>
      <c r="AB108" s="77" t="s">
        <v>2714</v>
      </c>
      <c r="AC108" s="82" t="s">
        <v>2719</v>
      </c>
      <c r="AD108" s="77" t="s">
        <v>2752</v>
      </c>
      <c r="AE108" s="80" t="str">
        <f>HYPERLINK("https://twitter.com/luiswolftigre/status/1635778411607015427")</f>
        <v>https://twitter.com/luiswolftigre/status/1635778411607015427</v>
      </c>
      <c r="AF108" s="79">
        <v>44999.95994212963</v>
      </c>
      <c r="AG108" s="85">
        <v>44999</v>
      </c>
      <c r="AH108" s="82" t="s">
        <v>2865</v>
      </c>
      <c r="AI108" s="77" t="b">
        <v>0</v>
      </c>
      <c r="AJ108" s="77" t="s">
        <v>3736</v>
      </c>
      <c r="AK108" s="77" t="s">
        <v>3752</v>
      </c>
      <c r="AL108" s="77" t="s">
        <v>3755</v>
      </c>
      <c r="AM108" s="77" t="s">
        <v>3760</v>
      </c>
      <c r="AN108" s="77" t="s">
        <v>3776</v>
      </c>
      <c r="AO108" s="77" t="s">
        <v>3794</v>
      </c>
      <c r="AP108" s="77" t="s">
        <v>3808</v>
      </c>
      <c r="AQ108" s="77" t="s">
        <v>3880</v>
      </c>
      <c r="AR108" s="77"/>
      <c r="AS108" s="77"/>
      <c r="AT108" s="77"/>
      <c r="AU108" s="77"/>
      <c r="AV108" s="80" t="str">
        <f>HYPERLINK("https://pbs.twimg.com/media/FrNzy5nX0AMeU_b.jpg")</f>
        <v>https://pbs.twimg.com/media/FrNzy5nX0AMeU_b.jpg</v>
      </c>
      <c r="AW108" s="82" t="s">
        <v>4442</v>
      </c>
      <c r="AX108" s="82" t="s">
        <v>4442</v>
      </c>
      <c r="AY108" s="77"/>
      <c r="AZ108" s="82" t="s">
        <v>5615</v>
      </c>
      <c r="BA108" s="82" t="s">
        <v>5615</v>
      </c>
      <c r="BB108" s="82" t="s">
        <v>5615</v>
      </c>
      <c r="BC108" s="82" t="s">
        <v>4442</v>
      </c>
      <c r="BD108" s="82" t="s">
        <v>5899</v>
      </c>
      <c r="BE108" s="77"/>
      <c r="BF108" s="77"/>
      <c r="BG108" s="77"/>
      <c r="BH108" s="77"/>
      <c r="BI108" s="77"/>
    </row>
    <row r="109" spans="1:61" x14ac:dyDescent="0.25">
      <c r="A109" s="62" t="s">
        <v>288</v>
      </c>
      <c r="B109" s="62" t="s">
        <v>288</v>
      </c>
      <c r="C109" s="63"/>
      <c r="D109" s="64"/>
      <c r="E109" s="65"/>
      <c r="F109" s="66"/>
      <c r="G109" s="63"/>
      <c r="H109" s="67"/>
      <c r="I109" s="68"/>
      <c r="J109" s="68"/>
      <c r="K109" s="32"/>
      <c r="L109" s="75">
        <v>109</v>
      </c>
      <c r="M109" s="75"/>
      <c r="N109" s="70"/>
      <c r="O109" s="77" t="s">
        <v>179</v>
      </c>
      <c r="P109" s="79">
        <v>44998.977395833332</v>
      </c>
      <c r="Q109" s="77" t="s">
        <v>692</v>
      </c>
      <c r="R109" s="77">
        <v>0</v>
      </c>
      <c r="S109" s="77">
        <v>1</v>
      </c>
      <c r="T109" s="77">
        <v>1</v>
      </c>
      <c r="U109" s="77">
        <v>0</v>
      </c>
      <c r="V109" s="77">
        <v>20</v>
      </c>
      <c r="W109" s="82" t="s">
        <v>1634</v>
      </c>
      <c r="X109" s="77"/>
      <c r="Y109" s="77"/>
      <c r="Z109" s="77"/>
      <c r="AA109" s="77" t="s">
        <v>2255</v>
      </c>
      <c r="AB109" s="77" t="s">
        <v>2713</v>
      </c>
      <c r="AC109" s="82" t="s">
        <v>2719</v>
      </c>
      <c r="AD109" s="77" t="s">
        <v>2752</v>
      </c>
      <c r="AE109" s="80" t="str">
        <f>HYPERLINK("https://twitter.com/luiswolftigre/status/1635422348923813888")</f>
        <v>https://twitter.com/luiswolftigre/status/1635422348923813888</v>
      </c>
      <c r="AF109" s="79">
        <v>44998.977395833332</v>
      </c>
      <c r="AG109" s="85">
        <v>44998</v>
      </c>
      <c r="AH109" s="82" t="s">
        <v>2866</v>
      </c>
      <c r="AI109" s="77" t="b">
        <v>0</v>
      </c>
      <c r="AJ109" s="77" t="s">
        <v>3736</v>
      </c>
      <c r="AK109" s="77" t="s">
        <v>3752</v>
      </c>
      <c r="AL109" s="77" t="s">
        <v>3755</v>
      </c>
      <c r="AM109" s="77" t="s">
        <v>3760</v>
      </c>
      <c r="AN109" s="77" t="s">
        <v>3776</v>
      </c>
      <c r="AO109" s="77" t="s">
        <v>3794</v>
      </c>
      <c r="AP109" s="77" t="s">
        <v>3808</v>
      </c>
      <c r="AQ109" s="77" t="s">
        <v>3881</v>
      </c>
      <c r="AR109" s="77">
        <v>20100</v>
      </c>
      <c r="AS109" s="77"/>
      <c r="AT109" s="77"/>
      <c r="AU109" s="77"/>
      <c r="AV109" s="80" t="str">
        <f>HYPERLINK("https://pbs.twimg.com/ext_tw_video_thumb/1635422296725766145/pu/img/IL9wU6up-7MCPA5B.jpg")</f>
        <v>https://pbs.twimg.com/ext_tw_video_thumb/1635422296725766145/pu/img/IL9wU6up-7MCPA5B.jpg</v>
      </c>
      <c r="AW109" s="82" t="s">
        <v>4443</v>
      </c>
      <c r="AX109" s="82" t="s">
        <v>4443</v>
      </c>
      <c r="AY109" s="77"/>
      <c r="AZ109" s="82" t="s">
        <v>5615</v>
      </c>
      <c r="BA109" s="82" t="s">
        <v>5615</v>
      </c>
      <c r="BB109" s="82" t="s">
        <v>5615</v>
      </c>
      <c r="BC109" s="82" t="s">
        <v>4443</v>
      </c>
      <c r="BD109" s="82" t="s">
        <v>5899</v>
      </c>
      <c r="BE109" s="77"/>
      <c r="BF109" s="77"/>
      <c r="BG109" s="77"/>
      <c r="BH109" s="77"/>
      <c r="BI109" s="77"/>
    </row>
    <row r="110" spans="1:61" x14ac:dyDescent="0.25">
      <c r="A110" s="62" t="s">
        <v>288</v>
      </c>
      <c r="B110" s="62" t="s">
        <v>288</v>
      </c>
      <c r="C110" s="63"/>
      <c r="D110" s="64"/>
      <c r="E110" s="65"/>
      <c r="F110" s="66"/>
      <c r="G110" s="63"/>
      <c r="H110" s="67"/>
      <c r="I110" s="68"/>
      <c r="J110" s="68"/>
      <c r="K110" s="32"/>
      <c r="L110" s="75">
        <v>110</v>
      </c>
      <c r="M110" s="75"/>
      <c r="N110" s="70"/>
      <c r="O110" s="77" t="s">
        <v>179</v>
      </c>
      <c r="P110" s="79">
        <v>44998.100868055553</v>
      </c>
      <c r="Q110" s="77" t="s">
        <v>693</v>
      </c>
      <c r="R110" s="77">
        <v>0</v>
      </c>
      <c r="S110" s="77">
        <v>1</v>
      </c>
      <c r="T110" s="77">
        <v>1</v>
      </c>
      <c r="U110" s="77">
        <v>0</v>
      </c>
      <c r="V110" s="77">
        <v>19</v>
      </c>
      <c r="W110" s="82" t="s">
        <v>1635</v>
      </c>
      <c r="X110" s="77"/>
      <c r="Y110" s="77"/>
      <c r="Z110" s="77"/>
      <c r="AA110" s="77" t="s">
        <v>2256</v>
      </c>
      <c r="AB110" s="77" t="s">
        <v>2713</v>
      </c>
      <c r="AC110" s="82" t="s">
        <v>2719</v>
      </c>
      <c r="AD110" s="77" t="s">
        <v>2752</v>
      </c>
      <c r="AE110" s="80" t="str">
        <f>HYPERLINK("https://twitter.com/luiswolftigre/status/1635104706392621057")</f>
        <v>https://twitter.com/luiswolftigre/status/1635104706392621057</v>
      </c>
      <c r="AF110" s="79">
        <v>44998.100868055553</v>
      </c>
      <c r="AG110" s="85">
        <v>44998</v>
      </c>
      <c r="AH110" s="82" t="s">
        <v>2867</v>
      </c>
      <c r="AI110" s="77" t="b">
        <v>0</v>
      </c>
      <c r="AJ110" s="77" t="s">
        <v>3736</v>
      </c>
      <c r="AK110" s="77" t="s">
        <v>3752</v>
      </c>
      <c r="AL110" s="77" t="s">
        <v>3755</v>
      </c>
      <c r="AM110" s="77" t="s">
        <v>3760</v>
      </c>
      <c r="AN110" s="77" t="s">
        <v>3776</v>
      </c>
      <c r="AO110" s="77" t="s">
        <v>3794</v>
      </c>
      <c r="AP110" s="77" t="s">
        <v>3808</v>
      </c>
      <c r="AQ110" s="77" t="s">
        <v>3882</v>
      </c>
      <c r="AR110" s="77">
        <v>19366</v>
      </c>
      <c r="AS110" s="77"/>
      <c r="AT110" s="77"/>
      <c r="AU110" s="77"/>
      <c r="AV110" s="80" t="str">
        <f>HYPERLINK("https://pbs.twimg.com/ext_tw_video_thumb/1635104642714460160/pu/img/tsFmQc1Cxin3ysmb.jpg")</f>
        <v>https://pbs.twimg.com/ext_tw_video_thumb/1635104642714460160/pu/img/tsFmQc1Cxin3ysmb.jpg</v>
      </c>
      <c r="AW110" s="82" t="s">
        <v>4444</v>
      </c>
      <c r="AX110" s="82" t="s">
        <v>4444</v>
      </c>
      <c r="AY110" s="77"/>
      <c r="AZ110" s="82" t="s">
        <v>5615</v>
      </c>
      <c r="BA110" s="82" t="s">
        <v>5615</v>
      </c>
      <c r="BB110" s="82" t="s">
        <v>5615</v>
      </c>
      <c r="BC110" s="82" t="s">
        <v>4444</v>
      </c>
      <c r="BD110" s="82" t="s">
        <v>5899</v>
      </c>
      <c r="BE110" s="77"/>
      <c r="BF110" s="77"/>
      <c r="BG110" s="77"/>
      <c r="BH110" s="77"/>
      <c r="BI110" s="77"/>
    </row>
    <row r="111" spans="1:61" x14ac:dyDescent="0.25">
      <c r="A111" s="62" t="s">
        <v>288</v>
      </c>
      <c r="B111" s="62" t="s">
        <v>288</v>
      </c>
      <c r="C111" s="63"/>
      <c r="D111" s="64"/>
      <c r="E111" s="65"/>
      <c r="F111" s="66"/>
      <c r="G111" s="63"/>
      <c r="H111" s="67"/>
      <c r="I111" s="68"/>
      <c r="J111" s="68"/>
      <c r="K111" s="32"/>
      <c r="L111" s="75">
        <v>111</v>
      </c>
      <c r="M111" s="75"/>
      <c r="N111" s="70"/>
      <c r="O111" s="77" t="s">
        <v>179</v>
      </c>
      <c r="P111" s="79">
        <v>44997.725925925923</v>
      </c>
      <c r="Q111" s="77" t="s">
        <v>694</v>
      </c>
      <c r="R111" s="77">
        <v>0</v>
      </c>
      <c r="S111" s="77">
        <v>1</v>
      </c>
      <c r="T111" s="77">
        <v>1</v>
      </c>
      <c r="U111" s="77">
        <v>0</v>
      </c>
      <c r="V111" s="77">
        <v>29</v>
      </c>
      <c r="W111" s="82" t="s">
        <v>1636</v>
      </c>
      <c r="X111" s="77"/>
      <c r="Y111" s="77"/>
      <c r="Z111" s="77"/>
      <c r="AA111" s="77" t="s">
        <v>2257</v>
      </c>
      <c r="AB111" s="77" t="s">
        <v>2713</v>
      </c>
      <c r="AC111" s="82" t="s">
        <v>2719</v>
      </c>
      <c r="AD111" s="77" t="s">
        <v>2752</v>
      </c>
      <c r="AE111" s="80" t="str">
        <f>HYPERLINK("https://twitter.com/luiswolftigre/status/1634968830173941763")</f>
        <v>https://twitter.com/luiswolftigre/status/1634968830173941763</v>
      </c>
      <c r="AF111" s="79">
        <v>44997.725925925923</v>
      </c>
      <c r="AG111" s="85">
        <v>44997</v>
      </c>
      <c r="AH111" s="82" t="s">
        <v>2868</v>
      </c>
      <c r="AI111" s="77" t="b">
        <v>0</v>
      </c>
      <c r="AJ111" s="77" t="s">
        <v>3736</v>
      </c>
      <c r="AK111" s="77" t="s">
        <v>3752</v>
      </c>
      <c r="AL111" s="77" t="s">
        <v>3755</v>
      </c>
      <c r="AM111" s="77" t="s">
        <v>3760</v>
      </c>
      <c r="AN111" s="77" t="s">
        <v>3776</v>
      </c>
      <c r="AO111" s="77" t="s">
        <v>3794</v>
      </c>
      <c r="AP111" s="77" t="s">
        <v>3808</v>
      </c>
      <c r="AQ111" s="77" t="s">
        <v>3883</v>
      </c>
      <c r="AR111" s="77">
        <v>11400</v>
      </c>
      <c r="AS111" s="77"/>
      <c r="AT111" s="77"/>
      <c r="AU111" s="77"/>
      <c r="AV111" s="80" t="str">
        <f>HYPERLINK("https://pbs.twimg.com/ext_tw_video_thumb/1634968775823962112/pu/img/QNcpN85tbmNA8tL-.jpg")</f>
        <v>https://pbs.twimg.com/ext_tw_video_thumb/1634968775823962112/pu/img/QNcpN85tbmNA8tL-.jpg</v>
      </c>
      <c r="AW111" s="82" t="s">
        <v>4445</v>
      </c>
      <c r="AX111" s="82" t="s">
        <v>4445</v>
      </c>
      <c r="AY111" s="77"/>
      <c r="AZ111" s="82" t="s">
        <v>5615</v>
      </c>
      <c r="BA111" s="82" t="s">
        <v>5615</v>
      </c>
      <c r="BB111" s="82" t="s">
        <v>5615</v>
      </c>
      <c r="BC111" s="82" t="s">
        <v>4445</v>
      </c>
      <c r="BD111" s="82" t="s">
        <v>5899</v>
      </c>
      <c r="BE111" s="77"/>
      <c r="BF111" s="77"/>
      <c r="BG111" s="77"/>
      <c r="BH111" s="77"/>
      <c r="BI111" s="77"/>
    </row>
    <row r="112" spans="1:61" x14ac:dyDescent="0.25">
      <c r="A112" s="62" t="s">
        <v>288</v>
      </c>
      <c r="B112" s="62" t="s">
        <v>288</v>
      </c>
      <c r="C112" s="63"/>
      <c r="D112" s="64"/>
      <c r="E112" s="65"/>
      <c r="F112" s="66"/>
      <c r="G112" s="63"/>
      <c r="H112" s="67"/>
      <c r="I112" s="68"/>
      <c r="J112" s="68"/>
      <c r="K112" s="32"/>
      <c r="L112" s="75">
        <v>112</v>
      </c>
      <c r="M112" s="75"/>
      <c r="N112" s="70"/>
      <c r="O112" s="77" t="s">
        <v>179</v>
      </c>
      <c r="P112" s="79">
        <v>45086.849930555552</v>
      </c>
      <c r="Q112" s="77" t="s">
        <v>695</v>
      </c>
      <c r="R112" s="77">
        <v>0</v>
      </c>
      <c r="S112" s="77">
        <v>0</v>
      </c>
      <c r="T112" s="77">
        <v>0</v>
      </c>
      <c r="U112" s="77">
        <v>0</v>
      </c>
      <c r="V112" s="77">
        <v>20</v>
      </c>
      <c r="W112" s="82" t="s">
        <v>1637</v>
      </c>
      <c r="X112" s="77"/>
      <c r="Y112" s="77"/>
      <c r="Z112" s="77"/>
      <c r="AA112" s="77" t="s">
        <v>2258</v>
      </c>
      <c r="AB112" s="77" t="s">
        <v>2713</v>
      </c>
      <c r="AC112" s="82" t="s">
        <v>2719</v>
      </c>
      <c r="AD112" s="77" t="s">
        <v>2755</v>
      </c>
      <c r="AE112" s="80" t="str">
        <f>HYPERLINK("https://twitter.com/luiswolftigre/status/1667266288098369536")</f>
        <v>https://twitter.com/luiswolftigre/status/1667266288098369536</v>
      </c>
      <c r="AF112" s="79">
        <v>45086.849930555552</v>
      </c>
      <c r="AG112" s="85">
        <v>45086</v>
      </c>
      <c r="AH112" s="82" t="s">
        <v>2869</v>
      </c>
      <c r="AI112" s="77" t="b">
        <v>0</v>
      </c>
      <c r="AJ112" s="77" t="s">
        <v>3736</v>
      </c>
      <c r="AK112" s="77" t="s">
        <v>3752</v>
      </c>
      <c r="AL112" s="77" t="s">
        <v>3755</v>
      </c>
      <c r="AM112" s="77" t="s">
        <v>3760</v>
      </c>
      <c r="AN112" s="77" t="s">
        <v>3776</v>
      </c>
      <c r="AO112" s="77" t="s">
        <v>3794</v>
      </c>
      <c r="AP112" s="77" t="s">
        <v>3808</v>
      </c>
      <c r="AQ112" s="77" t="s">
        <v>3884</v>
      </c>
      <c r="AR112" s="77">
        <v>9868</v>
      </c>
      <c r="AS112" s="77"/>
      <c r="AT112" s="77"/>
      <c r="AU112" s="77"/>
      <c r="AV112" s="80" t="str">
        <f>HYPERLINK("https://pbs.twimg.com/ext_tw_video_thumb/1667265972821016577/pu/img/3njD-AJppvfJyOxo.jpg")</f>
        <v>https://pbs.twimg.com/ext_tw_video_thumb/1667265972821016577/pu/img/3njD-AJppvfJyOxo.jpg</v>
      </c>
      <c r="AW112" s="82" t="s">
        <v>4446</v>
      </c>
      <c r="AX112" s="82" t="s">
        <v>4446</v>
      </c>
      <c r="AY112" s="77"/>
      <c r="AZ112" s="82" t="s">
        <v>5615</v>
      </c>
      <c r="BA112" s="82" t="s">
        <v>5615</v>
      </c>
      <c r="BB112" s="82" t="s">
        <v>5615</v>
      </c>
      <c r="BC112" s="82" t="s">
        <v>4446</v>
      </c>
      <c r="BD112" s="82" t="s">
        <v>5899</v>
      </c>
      <c r="BE112" s="77"/>
      <c r="BF112" s="77"/>
      <c r="BG112" s="77"/>
      <c r="BH112" s="77"/>
      <c r="BI112" s="77"/>
    </row>
    <row r="113" spans="1:61" x14ac:dyDescent="0.25">
      <c r="A113" s="62" t="s">
        <v>288</v>
      </c>
      <c r="B113" s="62" t="s">
        <v>288</v>
      </c>
      <c r="C113" s="63"/>
      <c r="D113" s="64"/>
      <c r="E113" s="65"/>
      <c r="F113" s="66"/>
      <c r="G113" s="63"/>
      <c r="H113" s="67"/>
      <c r="I113" s="68"/>
      <c r="J113" s="68"/>
      <c r="K113" s="32"/>
      <c r="L113" s="75">
        <v>113</v>
      </c>
      <c r="M113" s="75"/>
      <c r="N113" s="70"/>
      <c r="O113" s="77" t="s">
        <v>179</v>
      </c>
      <c r="P113" s="79">
        <v>45085.812418981484</v>
      </c>
      <c r="Q113" s="77" t="s">
        <v>696</v>
      </c>
      <c r="R113" s="77">
        <v>0</v>
      </c>
      <c r="S113" s="77">
        <v>0</v>
      </c>
      <c r="T113" s="77">
        <v>0</v>
      </c>
      <c r="U113" s="77">
        <v>0</v>
      </c>
      <c r="V113" s="77">
        <v>15</v>
      </c>
      <c r="W113" s="82" t="s">
        <v>1637</v>
      </c>
      <c r="X113" s="77"/>
      <c r="Y113" s="77"/>
      <c r="Z113" s="77"/>
      <c r="AA113" s="77" t="s">
        <v>2259</v>
      </c>
      <c r="AB113" s="77" t="s">
        <v>2713</v>
      </c>
      <c r="AC113" s="82" t="s">
        <v>2719</v>
      </c>
      <c r="AD113" s="77" t="s">
        <v>2759</v>
      </c>
      <c r="AE113" s="80" t="str">
        <f>HYPERLINK("https://twitter.com/luiswolftigre/status/1666890309651816464")</f>
        <v>https://twitter.com/luiswolftigre/status/1666890309651816464</v>
      </c>
      <c r="AF113" s="79">
        <v>45085.812418981484</v>
      </c>
      <c r="AG113" s="85">
        <v>45085</v>
      </c>
      <c r="AH113" s="82" t="s">
        <v>2870</v>
      </c>
      <c r="AI113" s="77" t="b">
        <v>0</v>
      </c>
      <c r="AJ113" s="77" t="s">
        <v>3736</v>
      </c>
      <c r="AK113" s="77" t="s">
        <v>3752</v>
      </c>
      <c r="AL113" s="77" t="s">
        <v>3755</v>
      </c>
      <c r="AM113" s="77" t="s">
        <v>3760</v>
      </c>
      <c r="AN113" s="77" t="s">
        <v>3776</v>
      </c>
      <c r="AO113" s="77" t="s">
        <v>3794</v>
      </c>
      <c r="AP113" s="77" t="s">
        <v>3808</v>
      </c>
      <c r="AQ113" s="77" t="s">
        <v>3885</v>
      </c>
      <c r="AR113" s="77">
        <v>6385</v>
      </c>
      <c r="AS113" s="77"/>
      <c r="AT113" s="77"/>
      <c r="AU113" s="77"/>
      <c r="AV113" s="80" t="str">
        <f>HYPERLINK("https://pbs.twimg.com/ext_tw_video_thumb/1666890234456416256/pu/img/Rj6HtwZl7hkjW0Oi.jpg")</f>
        <v>https://pbs.twimg.com/ext_tw_video_thumb/1666890234456416256/pu/img/Rj6HtwZl7hkjW0Oi.jpg</v>
      </c>
      <c r="AW113" s="82" t="s">
        <v>4447</v>
      </c>
      <c r="AX113" s="82" t="s">
        <v>4447</v>
      </c>
      <c r="AY113" s="77"/>
      <c r="AZ113" s="82" t="s">
        <v>5615</v>
      </c>
      <c r="BA113" s="82" t="s">
        <v>5615</v>
      </c>
      <c r="BB113" s="82" t="s">
        <v>5615</v>
      </c>
      <c r="BC113" s="82" t="s">
        <v>4447</v>
      </c>
      <c r="BD113" s="82" t="s">
        <v>5899</v>
      </c>
      <c r="BE113" s="77"/>
      <c r="BF113" s="77"/>
      <c r="BG113" s="77"/>
      <c r="BH113" s="77"/>
      <c r="BI113" s="77"/>
    </row>
    <row r="114" spans="1:61" x14ac:dyDescent="0.25">
      <c r="A114" s="62" t="s">
        <v>288</v>
      </c>
      <c r="B114" s="62" t="s">
        <v>288</v>
      </c>
      <c r="C114" s="63"/>
      <c r="D114" s="64"/>
      <c r="E114" s="65"/>
      <c r="F114" s="66"/>
      <c r="G114" s="63"/>
      <c r="H114" s="67"/>
      <c r="I114" s="68"/>
      <c r="J114" s="68"/>
      <c r="K114" s="32"/>
      <c r="L114" s="75">
        <v>114</v>
      </c>
      <c r="M114" s="75"/>
      <c r="N114" s="70"/>
      <c r="O114" s="77" t="s">
        <v>179</v>
      </c>
      <c r="P114" s="79">
        <v>45067.77002314815</v>
      </c>
      <c r="Q114" s="77" t="s">
        <v>697</v>
      </c>
      <c r="R114" s="77">
        <v>0</v>
      </c>
      <c r="S114" s="77">
        <v>1</v>
      </c>
      <c r="T114" s="77">
        <v>1</v>
      </c>
      <c r="U114" s="77">
        <v>0</v>
      </c>
      <c r="V114" s="77">
        <v>11</v>
      </c>
      <c r="W114" s="82" t="s">
        <v>1637</v>
      </c>
      <c r="X114" s="77"/>
      <c r="Y114" s="77"/>
      <c r="Z114" s="77"/>
      <c r="AA114" s="77" t="s">
        <v>2260</v>
      </c>
      <c r="AB114" s="77" t="s">
        <v>2713</v>
      </c>
      <c r="AC114" s="82" t="s">
        <v>2719</v>
      </c>
      <c r="AD114" s="77" t="s">
        <v>2752</v>
      </c>
      <c r="AE114" s="80" t="str">
        <f>HYPERLINK("https://twitter.com/luiswolftigre/status/1660351962489954314")</f>
        <v>https://twitter.com/luiswolftigre/status/1660351962489954314</v>
      </c>
      <c r="AF114" s="79">
        <v>45067.77002314815</v>
      </c>
      <c r="AG114" s="85">
        <v>45067</v>
      </c>
      <c r="AH114" s="82" t="s">
        <v>2871</v>
      </c>
      <c r="AI114" s="77" t="b">
        <v>0</v>
      </c>
      <c r="AJ114" s="77" t="s">
        <v>3736</v>
      </c>
      <c r="AK114" s="77" t="s">
        <v>3752</v>
      </c>
      <c r="AL114" s="77" t="s">
        <v>3755</v>
      </c>
      <c r="AM114" s="77" t="s">
        <v>3760</v>
      </c>
      <c r="AN114" s="77" t="s">
        <v>3776</v>
      </c>
      <c r="AO114" s="77" t="s">
        <v>3794</v>
      </c>
      <c r="AP114" s="77" t="s">
        <v>3808</v>
      </c>
      <c r="AQ114" s="77" t="s">
        <v>3886</v>
      </c>
      <c r="AR114" s="77">
        <v>8010</v>
      </c>
      <c r="AS114" s="77"/>
      <c r="AT114" s="77"/>
      <c r="AU114" s="77"/>
      <c r="AV114" s="80" t="str">
        <f>HYPERLINK("https://pbs.twimg.com/ext_tw_video_thumb/1660351924405772289/pu/img/FJKrHhipbTV4fcKc.jpg")</f>
        <v>https://pbs.twimg.com/ext_tw_video_thumb/1660351924405772289/pu/img/FJKrHhipbTV4fcKc.jpg</v>
      </c>
      <c r="AW114" s="82" t="s">
        <v>4448</v>
      </c>
      <c r="AX114" s="82" t="s">
        <v>4448</v>
      </c>
      <c r="AY114" s="77"/>
      <c r="AZ114" s="82" t="s">
        <v>5615</v>
      </c>
      <c r="BA114" s="82" t="s">
        <v>5615</v>
      </c>
      <c r="BB114" s="82" t="s">
        <v>5615</v>
      </c>
      <c r="BC114" s="82" t="s">
        <v>4448</v>
      </c>
      <c r="BD114" s="82" t="s">
        <v>5899</v>
      </c>
      <c r="BE114" s="77"/>
      <c r="BF114" s="77"/>
      <c r="BG114" s="77"/>
      <c r="BH114" s="77"/>
      <c r="BI114" s="77"/>
    </row>
    <row r="115" spans="1:61" x14ac:dyDescent="0.25">
      <c r="A115" s="62" t="s">
        <v>288</v>
      </c>
      <c r="B115" s="62" t="s">
        <v>288</v>
      </c>
      <c r="C115" s="63"/>
      <c r="D115" s="64"/>
      <c r="E115" s="65"/>
      <c r="F115" s="66"/>
      <c r="G115" s="63"/>
      <c r="H115" s="67"/>
      <c r="I115" s="68"/>
      <c r="J115" s="68"/>
      <c r="K115" s="32"/>
      <c r="L115" s="75">
        <v>115</v>
      </c>
      <c r="M115" s="75"/>
      <c r="N115" s="70"/>
      <c r="O115" s="77" t="s">
        <v>179</v>
      </c>
      <c r="P115" s="79">
        <v>45066.899016203701</v>
      </c>
      <c r="Q115" s="77" t="s">
        <v>698</v>
      </c>
      <c r="R115" s="77">
        <v>0</v>
      </c>
      <c r="S115" s="77">
        <v>1</v>
      </c>
      <c r="T115" s="77">
        <v>0</v>
      </c>
      <c r="U115" s="77">
        <v>0</v>
      </c>
      <c r="V115" s="77">
        <v>10</v>
      </c>
      <c r="W115" s="82" t="s">
        <v>1637</v>
      </c>
      <c r="X115" s="77"/>
      <c r="Y115" s="77"/>
      <c r="Z115" s="77"/>
      <c r="AA115" s="77" t="s">
        <v>2261</v>
      </c>
      <c r="AB115" s="77" t="s">
        <v>2713</v>
      </c>
      <c r="AC115" s="82" t="s">
        <v>2719</v>
      </c>
      <c r="AD115" s="77" t="s">
        <v>2755</v>
      </c>
      <c r="AE115" s="80" t="str">
        <f>HYPERLINK("https://twitter.com/luiswolftigre/status/1660036321140781064")</f>
        <v>https://twitter.com/luiswolftigre/status/1660036321140781064</v>
      </c>
      <c r="AF115" s="79">
        <v>45066.899016203701</v>
      </c>
      <c r="AG115" s="85">
        <v>45066</v>
      </c>
      <c r="AH115" s="82" t="s">
        <v>2872</v>
      </c>
      <c r="AI115" s="77" t="b">
        <v>0</v>
      </c>
      <c r="AJ115" s="77" t="s">
        <v>3736</v>
      </c>
      <c r="AK115" s="77" t="s">
        <v>3752</v>
      </c>
      <c r="AL115" s="77" t="s">
        <v>3755</v>
      </c>
      <c r="AM115" s="77" t="s">
        <v>3760</v>
      </c>
      <c r="AN115" s="77" t="s">
        <v>3776</v>
      </c>
      <c r="AO115" s="77" t="s">
        <v>3794</v>
      </c>
      <c r="AP115" s="77" t="s">
        <v>3808</v>
      </c>
      <c r="AQ115" s="77" t="s">
        <v>3887</v>
      </c>
      <c r="AR115" s="77">
        <v>10286</v>
      </c>
      <c r="AS115" s="77"/>
      <c r="AT115" s="77"/>
      <c r="AU115" s="77"/>
      <c r="AV115" s="80" t="str">
        <f>HYPERLINK("https://pbs.twimg.com/ext_tw_video_thumb/1660036278501404674/pu/img/9veD1TVNMSusLJnF.jpg")</f>
        <v>https://pbs.twimg.com/ext_tw_video_thumb/1660036278501404674/pu/img/9veD1TVNMSusLJnF.jpg</v>
      </c>
      <c r="AW115" s="82" t="s">
        <v>4449</v>
      </c>
      <c r="AX115" s="82" t="s">
        <v>4449</v>
      </c>
      <c r="AY115" s="77"/>
      <c r="AZ115" s="82" t="s">
        <v>5615</v>
      </c>
      <c r="BA115" s="82" t="s">
        <v>5615</v>
      </c>
      <c r="BB115" s="82" t="s">
        <v>5615</v>
      </c>
      <c r="BC115" s="82" t="s">
        <v>4449</v>
      </c>
      <c r="BD115" s="82" t="s">
        <v>5899</v>
      </c>
      <c r="BE115" s="77"/>
      <c r="BF115" s="77"/>
      <c r="BG115" s="77"/>
      <c r="BH115" s="77"/>
      <c r="BI115" s="77"/>
    </row>
    <row r="116" spans="1:61" x14ac:dyDescent="0.25">
      <c r="A116" s="62" t="s">
        <v>288</v>
      </c>
      <c r="B116" s="62" t="s">
        <v>288</v>
      </c>
      <c r="C116" s="63"/>
      <c r="D116" s="64"/>
      <c r="E116" s="65"/>
      <c r="F116" s="66"/>
      <c r="G116" s="63"/>
      <c r="H116" s="67"/>
      <c r="I116" s="68"/>
      <c r="J116" s="68"/>
      <c r="K116" s="32"/>
      <c r="L116" s="75">
        <v>116</v>
      </c>
      <c r="M116" s="75"/>
      <c r="N116" s="70"/>
      <c r="O116" s="77" t="s">
        <v>179</v>
      </c>
      <c r="P116" s="79">
        <v>45065.964282407411</v>
      </c>
      <c r="Q116" s="77" t="s">
        <v>699</v>
      </c>
      <c r="R116" s="77">
        <v>0</v>
      </c>
      <c r="S116" s="77">
        <v>0</v>
      </c>
      <c r="T116" s="77">
        <v>1</v>
      </c>
      <c r="U116" s="77">
        <v>0</v>
      </c>
      <c r="V116" s="77">
        <v>8</v>
      </c>
      <c r="W116" s="82" t="s">
        <v>1637</v>
      </c>
      <c r="X116" s="77"/>
      <c r="Y116" s="77"/>
      <c r="Z116" s="77"/>
      <c r="AA116" s="77" t="s">
        <v>2262</v>
      </c>
      <c r="AB116" s="77" t="s">
        <v>2713</v>
      </c>
      <c r="AC116" s="82" t="s">
        <v>2719</v>
      </c>
      <c r="AD116" s="77" t="s">
        <v>2755</v>
      </c>
      <c r="AE116" s="80" t="str">
        <f>HYPERLINK("https://twitter.com/luiswolftigre/status/1659697583609233409")</f>
        <v>https://twitter.com/luiswolftigre/status/1659697583609233409</v>
      </c>
      <c r="AF116" s="79">
        <v>45065.964282407411</v>
      </c>
      <c r="AG116" s="85">
        <v>45065</v>
      </c>
      <c r="AH116" s="82" t="s">
        <v>2873</v>
      </c>
      <c r="AI116" s="77" t="b">
        <v>0</v>
      </c>
      <c r="AJ116" s="77" t="s">
        <v>3736</v>
      </c>
      <c r="AK116" s="77" t="s">
        <v>3752</v>
      </c>
      <c r="AL116" s="77" t="s">
        <v>3755</v>
      </c>
      <c r="AM116" s="77" t="s">
        <v>3760</v>
      </c>
      <c r="AN116" s="77" t="s">
        <v>3776</v>
      </c>
      <c r="AO116" s="77" t="s">
        <v>3794</v>
      </c>
      <c r="AP116" s="77" t="s">
        <v>3808</v>
      </c>
      <c r="AQ116" s="77" t="s">
        <v>3888</v>
      </c>
      <c r="AR116" s="77">
        <v>8382</v>
      </c>
      <c r="AS116" s="77"/>
      <c r="AT116" s="77"/>
      <c r="AU116" s="77"/>
      <c r="AV116" s="80" t="str">
        <f>HYPERLINK("https://pbs.twimg.com/ext_tw_video_thumb/1659697488750604288/pu/img/XMb9ZgKo5fp5C8Mg.jpg")</f>
        <v>https://pbs.twimg.com/ext_tw_video_thumb/1659697488750604288/pu/img/XMb9ZgKo5fp5C8Mg.jpg</v>
      </c>
      <c r="AW116" s="82" t="s">
        <v>4450</v>
      </c>
      <c r="AX116" s="82" t="s">
        <v>4450</v>
      </c>
      <c r="AY116" s="77"/>
      <c r="AZ116" s="82" t="s">
        <v>5615</v>
      </c>
      <c r="BA116" s="82" t="s">
        <v>5615</v>
      </c>
      <c r="BB116" s="82" t="s">
        <v>5615</v>
      </c>
      <c r="BC116" s="82" t="s">
        <v>4450</v>
      </c>
      <c r="BD116" s="82" t="s">
        <v>5899</v>
      </c>
      <c r="BE116" s="77"/>
      <c r="BF116" s="77"/>
      <c r="BG116" s="77"/>
      <c r="BH116" s="77"/>
      <c r="BI116" s="77"/>
    </row>
    <row r="117" spans="1:61" x14ac:dyDescent="0.25">
      <c r="A117" s="62" t="s">
        <v>288</v>
      </c>
      <c r="B117" s="62" t="s">
        <v>288</v>
      </c>
      <c r="C117" s="63"/>
      <c r="D117" s="64"/>
      <c r="E117" s="65"/>
      <c r="F117" s="66"/>
      <c r="G117" s="63"/>
      <c r="H117" s="67"/>
      <c r="I117" s="68"/>
      <c r="J117" s="68"/>
      <c r="K117" s="32"/>
      <c r="L117" s="75">
        <v>117</v>
      </c>
      <c r="M117" s="75"/>
      <c r="N117" s="70"/>
      <c r="O117" s="77" t="s">
        <v>179</v>
      </c>
      <c r="P117" s="79">
        <v>45064.967847222222</v>
      </c>
      <c r="Q117" s="77" t="s">
        <v>700</v>
      </c>
      <c r="R117" s="77">
        <v>0</v>
      </c>
      <c r="S117" s="77">
        <v>0</v>
      </c>
      <c r="T117" s="77">
        <v>1</v>
      </c>
      <c r="U117" s="77">
        <v>0</v>
      </c>
      <c r="V117" s="77">
        <v>12</v>
      </c>
      <c r="W117" s="82" t="s">
        <v>1637</v>
      </c>
      <c r="X117" s="77"/>
      <c r="Y117" s="77"/>
      <c r="Z117" s="77"/>
      <c r="AA117" s="77" t="s">
        <v>2263</v>
      </c>
      <c r="AB117" s="77" t="s">
        <v>2713</v>
      </c>
      <c r="AC117" s="82" t="s">
        <v>2719</v>
      </c>
      <c r="AD117" s="77" t="s">
        <v>2752</v>
      </c>
      <c r="AE117" s="80" t="str">
        <f>HYPERLINK("https://twitter.com/luiswolftigre/status/1659336489526874114")</f>
        <v>https://twitter.com/luiswolftigre/status/1659336489526874114</v>
      </c>
      <c r="AF117" s="79">
        <v>45064.967847222222</v>
      </c>
      <c r="AG117" s="85">
        <v>45064</v>
      </c>
      <c r="AH117" s="82" t="s">
        <v>2874</v>
      </c>
      <c r="AI117" s="77" t="b">
        <v>0</v>
      </c>
      <c r="AJ117" s="77" t="s">
        <v>3736</v>
      </c>
      <c r="AK117" s="77" t="s">
        <v>3752</v>
      </c>
      <c r="AL117" s="77" t="s">
        <v>3755</v>
      </c>
      <c r="AM117" s="77" t="s">
        <v>3760</v>
      </c>
      <c r="AN117" s="77" t="s">
        <v>3776</v>
      </c>
      <c r="AO117" s="77" t="s">
        <v>3794</v>
      </c>
      <c r="AP117" s="77" t="s">
        <v>3808</v>
      </c>
      <c r="AQ117" s="77" t="s">
        <v>3889</v>
      </c>
      <c r="AR117" s="77">
        <v>11516</v>
      </c>
      <c r="AS117" s="77"/>
      <c r="AT117" s="77"/>
      <c r="AU117" s="77"/>
      <c r="AV117" s="80" t="str">
        <f>HYPERLINK("https://pbs.twimg.com/ext_tw_video_thumb/1659336436368195584/pu/img/eiKTwFMnW9-_kwVI.jpg")</f>
        <v>https://pbs.twimg.com/ext_tw_video_thumb/1659336436368195584/pu/img/eiKTwFMnW9-_kwVI.jpg</v>
      </c>
      <c r="AW117" s="82" t="s">
        <v>4451</v>
      </c>
      <c r="AX117" s="82" t="s">
        <v>4451</v>
      </c>
      <c r="AY117" s="77"/>
      <c r="AZ117" s="82" t="s">
        <v>5615</v>
      </c>
      <c r="BA117" s="82" t="s">
        <v>5615</v>
      </c>
      <c r="BB117" s="82" t="s">
        <v>5615</v>
      </c>
      <c r="BC117" s="82" t="s">
        <v>4451</v>
      </c>
      <c r="BD117" s="82" t="s">
        <v>5899</v>
      </c>
      <c r="BE117" s="77"/>
      <c r="BF117" s="77"/>
      <c r="BG117" s="77"/>
      <c r="BH117" s="77"/>
      <c r="BI117" s="77"/>
    </row>
    <row r="118" spans="1:61" x14ac:dyDescent="0.25">
      <c r="A118" s="62" t="s">
        <v>288</v>
      </c>
      <c r="B118" s="62" t="s">
        <v>288</v>
      </c>
      <c r="C118" s="63"/>
      <c r="D118" s="64"/>
      <c r="E118" s="65"/>
      <c r="F118" s="66"/>
      <c r="G118" s="63"/>
      <c r="H118" s="67"/>
      <c r="I118" s="68"/>
      <c r="J118" s="68"/>
      <c r="K118" s="32"/>
      <c r="L118" s="75">
        <v>118</v>
      </c>
      <c r="M118" s="75"/>
      <c r="N118" s="70"/>
      <c r="O118" s="77" t="s">
        <v>179</v>
      </c>
      <c r="P118" s="79">
        <v>45058.948680555557</v>
      </c>
      <c r="Q118" s="77" t="s">
        <v>701</v>
      </c>
      <c r="R118" s="77">
        <v>0</v>
      </c>
      <c r="S118" s="77">
        <v>0</v>
      </c>
      <c r="T118" s="77">
        <v>1</v>
      </c>
      <c r="U118" s="77">
        <v>0</v>
      </c>
      <c r="V118" s="77">
        <v>7</v>
      </c>
      <c r="W118" s="82" t="s">
        <v>1638</v>
      </c>
      <c r="X118" s="77"/>
      <c r="Y118" s="77"/>
      <c r="Z118" s="77"/>
      <c r="AA118" s="77" t="s">
        <v>2264</v>
      </c>
      <c r="AB118" s="77" t="s">
        <v>2713</v>
      </c>
      <c r="AC118" s="82" t="s">
        <v>2719</v>
      </c>
      <c r="AD118" s="77" t="s">
        <v>2755</v>
      </c>
      <c r="AE118" s="80" t="str">
        <f>HYPERLINK("https://twitter.com/luiswolftigre/status/1657155213835354112")</f>
        <v>https://twitter.com/luiswolftigre/status/1657155213835354112</v>
      </c>
      <c r="AF118" s="79">
        <v>45058.948680555557</v>
      </c>
      <c r="AG118" s="85">
        <v>45058</v>
      </c>
      <c r="AH118" s="82" t="s">
        <v>2875</v>
      </c>
      <c r="AI118" s="77" t="b">
        <v>0</v>
      </c>
      <c r="AJ118" s="77" t="s">
        <v>3736</v>
      </c>
      <c r="AK118" s="77" t="s">
        <v>3752</v>
      </c>
      <c r="AL118" s="77" t="s">
        <v>3755</v>
      </c>
      <c r="AM118" s="77" t="s">
        <v>3760</v>
      </c>
      <c r="AN118" s="77" t="s">
        <v>3776</v>
      </c>
      <c r="AO118" s="77" t="s">
        <v>3794</v>
      </c>
      <c r="AP118" s="77" t="s">
        <v>3808</v>
      </c>
      <c r="AQ118" s="77" t="s">
        <v>3890</v>
      </c>
      <c r="AR118" s="77">
        <v>10239</v>
      </c>
      <c r="AS118" s="77"/>
      <c r="AT118" s="77"/>
      <c r="AU118" s="77"/>
      <c r="AV118" s="80" t="str">
        <f>HYPERLINK("https://pbs.twimg.com/ext_tw_video_thumb/1657155179869814784/pu/img/g5AILcDrn9sUIQ_Q.jpg")</f>
        <v>https://pbs.twimg.com/ext_tw_video_thumb/1657155179869814784/pu/img/g5AILcDrn9sUIQ_Q.jpg</v>
      </c>
      <c r="AW118" s="82" t="s">
        <v>4452</v>
      </c>
      <c r="AX118" s="82" t="s">
        <v>4452</v>
      </c>
      <c r="AY118" s="77"/>
      <c r="AZ118" s="82" t="s">
        <v>5615</v>
      </c>
      <c r="BA118" s="82" t="s">
        <v>5615</v>
      </c>
      <c r="BB118" s="82" t="s">
        <v>5615</v>
      </c>
      <c r="BC118" s="82" t="s">
        <v>4452</v>
      </c>
      <c r="BD118" s="82" t="s">
        <v>5899</v>
      </c>
      <c r="BE118" s="77"/>
      <c r="BF118" s="77"/>
      <c r="BG118" s="77"/>
      <c r="BH118" s="77"/>
      <c r="BI118" s="77"/>
    </row>
    <row r="119" spans="1:61" x14ac:dyDescent="0.25">
      <c r="A119" s="62" t="s">
        <v>288</v>
      </c>
      <c r="B119" s="62" t="s">
        <v>288</v>
      </c>
      <c r="C119" s="63"/>
      <c r="D119" s="64"/>
      <c r="E119" s="65"/>
      <c r="F119" s="66"/>
      <c r="G119" s="63"/>
      <c r="H119" s="67"/>
      <c r="I119" s="68"/>
      <c r="J119" s="68"/>
      <c r="K119" s="32"/>
      <c r="L119" s="75">
        <v>119</v>
      </c>
      <c r="M119" s="75"/>
      <c r="N119" s="70"/>
      <c r="O119" s="77" t="s">
        <v>179</v>
      </c>
      <c r="P119" s="79">
        <v>45050.929456018515</v>
      </c>
      <c r="Q119" s="77" t="s">
        <v>702</v>
      </c>
      <c r="R119" s="77">
        <v>0</v>
      </c>
      <c r="S119" s="77">
        <v>0</v>
      </c>
      <c r="T119" s="77">
        <v>1</v>
      </c>
      <c r="U119" s="77">
        <v>0</v>
      </c>
      <c r="V119" s="77">
        <v>7</v>
      </c>
      <c r="W119" s="82" t="s">
        <v>1637</v>
      </c>
      <c r="X119" s="77"/>
      <c r="Y119" s="77"/>
      <c r="Z119" s="77"/>
      <c r="AA119" s="77" t="s">
        <v>2265</v>
      </c>
      <c r="AB119" s="77" t="s">
        <v>2713</v>
      </c>
      <c r="AC119" s="82" t="s">
        <v>2719</v>
      </c>
      <c r="AD119" s="77" t="s">
        <v>2755</v>
      </c>
      <c r="AE119" s="80" t="str">
        <f>HYPERLINK("https://twitter.com/luiswolftigre/status/1654249144532316161")</f>
        <v>https://twitter.com/luiswolftigre/status/1654249144532316161</v>
      </c>
      <c r="AF119" s="79">
        <v>45050.929456018515</v>
      </c>
      <c r="AG119" s="85">
        <v>45050</v>
      </c>
      <c r="AH119" s="82" t="s">
        <v>2876</v>
      </c>
      <c r="AI119" s="77" t="b">
        <v>0</v>
      </c>
      <c r="AJ119" s="77" t="s">
        <v>3736</v>
      </c>
      <c r="AK119" s="77" t="s">
        <v>3752</v>
      </c>
      <c r="AL119" s="77" t="s">
        <v>3755</v>
      </c>
      <c r="AM119" s="77" t="s">
        <v>3760</v>
      </c>
      <c r="AN119" s="77" t="s">
        <v>3776</v>
      </c>
      <c r="AO119" s="77" t="s">
        <v>3794</v>
      </c>
      <c r="AP119" s="77" t="s">
        <v>3808</v>
      </c>
      <c r="AQ119" s="77" t="s">
        <v>3891</v>
      </c>
      <c r="AR119" s="77">
        <v>9612</v>
      </c>
      <c r="AS119" s="77"/>
      <c r="AT119" s="77"/>
      <c r="AU119" s="77"/>
      <c r="AV119" s="80" t="str">
        <f>HYPERLINK("https://pbs.twimg.com/ext_tw_video_thumb/1654249111590166529/pu/img/piEO7WzR2Cyjd-4N.jpg")</f>
        <v>https://pbs.twimg.com/ext_tw_video_thumb/1654249111590166529/pu/img/piEO7WzR2Cyjd-4N.jpg</v>
      </c>
      <c r="AW119" s="82" t="s">
        <v>4453</v>
      </c>
      <c r="AX119" s="82" t="s">
        <v>4453</v>
      </c>
      <c r="AY119" s="77"/>
      <c r="AZ119" s="82" t="s">
        <v>5615</v>
      </c>
      <c r="BA119" s="82" t="s">
        <v>5615</v>
      </c>
      <c r="BB119" s="82" t="s">
        <v>5615</v>
      </c>
      <c r="BC119" s="82" t="s">
        <v>4453</v>
      </c>
      <c r="BD119" s="82" t="s">
        <v>5899</v>
      </c>
      <c r="BE119" s="77"/>
      <c r="BF119" s="77"/>
      <c r="BG119" s="77"/>
      <c r="BH119" s="77"/>
      <c r="BI119" s="77"/>
    </row>
    <row r="120" spans="1:61" x14ac:dyDescent="0.25">
      <c r="A120" s="62" t="s">
        <v>288</v>
      </c>
      <c r="B120" s="62" t="s">
        <v>288</v>
      </c>
      <c r="C120" s="63"/>
      <c r="D120" s="64"/>
      <c r="E120" s="65"/>
      <c r="F120" s="66"/>
      <c r="G120" s="63"/>
      <c r="H120" s="67"/>
      <c r="I120" s="68"/>
      <c r="J120" s="68"/>
      <c r="K120" s="32"/>
      <c r="L120" s="75">
        <v>120</v>
      </c>
      <c r="M120" s="75"/>
      <c r="N120" s="70"/>
      <c r="O120" s="77" t="s">
        <v>179</v>
      </c>
      <c r="P120" s="79">
        <v>45049.951041666667</v>
      </c>
      <c r="Q120" s="77" t="s">
        <v>703</v>
      </c>
      <c r="R120" s="77">
        <v>0</v>
      </c>
      <c r="S120" s="77">
        <v>0</v>
      </c>
      <c r="T120" s="77">
        <v>1</v>
      </c>
      <c r="U120" s="77">
        <v>0</v>
      </c>
      <c r="V120" s="77">
        <v>9</v>
      </c>
      <c r="W120" s="82" t="s">
        <v>1637</v>
      </c>
      <c r="X120" s="77"/>
      <c r="Y120" s="77"/>
      <c r="Z120" s="77"/>
      <c r="AA120" s="77" t="s">
        <v>2266</v>
      </c>
      <c r="AB120" s="77" t="s">
        <v>2713</v>
      </c>
      <c r="AC120" s="82" t="s">
        <v>2719</v>
      </c>
      <c r="AD120" s="77" t="s">
        <v>2752</v>
      </c>
      <c r="AE120" s="80" t="str">
        <f>HYPERLINK("https://twitter.com/luiswolftigre/status/1653894582084460546")</f>
        <v>https://twitter.com/luiswolftigre/status/1653894582084460546</v>
      </c>
      <c r="AF120" s="79">
        <v>45049.951041666667</v>
      </c>
      <c r="AG120" s="85">
        <v>45049</v>
      </c>
      <c r="AH120" s="82" t="s">
        <v>2877</v>
      </c>
      <c r="AI120" s="77" t="b">
        <v>0</v>
      </c>
      <c r="AJ120" s="77" t="s">
        <v>3736</v>
      </c>
      <c r="AK120" s="77" t="s">
        <v>3752</v>
      </c>
      <c r="AL120" s="77" t="s">
        <v>3755</v>
      </c>
      <c r="AM120" s="77" t="s">
        <v>3760</v>
      </c>
      <c r="AN120" s="77" t="s">
        <v>3776</v>
      </c>
      <c r="AO120" s="77" t="s">
        <v>3794</v>
      </c>
      <c r="AP120" s="77" t="s">
        <v>3808</v>
      </c>
      <c r="AQ120" s="77" t="s">
        <v>3892</v>
      </c>
      <c r="AR120" s="77">
        <v>15000</v>
      </c>
      <c r="AS120" s="77"/>
      <c r="AT120" s="77"/>
      <c r="AU120" s="77"/>
      <c r="AV120" s="80" t="str">
        <f>HYPERLINK("https://pbs.twimg.com/ext_tw_video_thumb/1653894553034801152/pu/img/edTOt4BPGB6vyKNe.jpg")</f>
        <v>https://pbs.twimg.com/ext_tw_video_thumb/1653894553034801152/pu/img/edTOt4BPGB6vyKNe.jpg</v>
      </c>
      <c r="AW120" s="82" t="s">
        <v>4454</v>
      </c>
      <c r="AX120" s="82" t="s">
        <v>4454</v>
      </c>
      <c r="AY120" s="77"/>
      <c r="AZ120" s="82" t="s">
        <v>5615</v>
      </c>
      <c r="BA120" s="82" t="s">
        <v>5615</v>
      </c>
      <c r="BB120" s="82" t="s">
        <v>5615</v>
      </c>
      <c r="BC120" s="82" t="s">
        <v>4454</v>
      </c>
      <c r="BD120" s="82" t="s">
        <v>5899</v>
      </c>
      <c r="BE120" s="77"/>
      <c r="BF120" s="77"/>
      <c r="BG120" s="77"/>
      <c r="BH120" s="77"/>
      <c r="BI120" s="77"/>
    </row>
    <row r="121" spans="1:61" x14ac:dyDescent="0.25">
      <c r="A121" s="62" t="s">
        <v>288</v>
      </c>
      <c r="B121" s="62" t="s">
        <v>288</v>
      </c>
      <c r="C121" s="63"/>
      <c r="D121" s="64"/>
      <c r="E121" s="65"/>
      <c r="F121" s="66"/>
      <c r="G121" s="63"/>
      <c r="H121" s="67"/>
      <c r="I121" s="68"/>
      <c r="J121" s="68"/>
      <c r="K121" s="32"/>
      <c r="L121" s="75">
        <v>121</v>
      </c>
      <c r="M121" s="75"/>
      <c r="N121" s="70"/>
      <c r="O121" s="77" t="s">
        <v>179</v>
      </c>
      <c r="P121" s="79">
        <v>45048.913703703707</v>
      </c>
      <c r="Q121" s="77" t="s">
        <v>704</v>
      </c>
      <c r="R121" s="77">
        <v>0</v>
      </c>
      <c r="S121" s="77">
        <v>0</v>
      </c>
      <c r="T121" s="77">
        <v>1</v>
      </c>
      <c r="U121" s="77">
        <v>0</v>
      </c>
      <c r="V121" s="77">
        <v>5</v>
      </c>
      <c r="W121" s="82" t="s">
        <v>1637</v>
      </c>
      <c r="X121" s="77"/>
      <c r="Y121" s="77"/>
      <c r="Z121" s="77"/>
      <c r="AA121" s="77" t="s">
        <v>2267</v>
      </c>
      <c r="AB121" s="77" t="s">
        <v>2713</v>
      </c>
      <c r="AC121" s="82" t="s">
        <v>2719</v>
      </c>
      <c r="AD121" s="77" t="s">
        <v>2755</v>
      </c>
      <c r="AE121" s="80" t="str">
        <f>HYPERLINK("https://twitter.com/luiswolftigre/status/1653518660953157638")</f>
        <v>https://twitter.com/luiswolftigre/status/1653518660953157638</v>
      </c>
      <c r="AF121" s="79">
        <v>45048.913703703707</v>
      </c>
      <c r="AG121" s="85">
        <v>45048</v>
      </c>
      <c r="AH121" s="82" t="s">
        <v>2878</v>
      </c>
      <c r="AI121" s="77" t="b">
        <v>0</v>
      </c>
      <c r="AJ121" s="77" t="s">
        <v>3736</v>
      </c>
      <c r="AK121" s="77" t="s">
        <v>3752</v>
      </c>
      <c r="AL121" s="77" t="s">
        <v>3755</v>
      </c>
      <c r="AM121" s="77" t="s">
        <v>3760</v>
      </c>
      <c r="AN121" s="77" t="s">
        <v>3776</v>
      </c>
      <c r="AO121" s="77" t="s">
        <v>3794</v>
      </c>
      <c r="AP121" s="77" t="s">
        <v>3808</v>
      </c>
      <c r="AQ121" s="77" t="s">
        <v>3893</v>
      </c>
      <c r="AR121" s="77">
        <v>8800</v>
      </c>
      <c r="AS121" s="77"/>
      <c r="AT121" s="77"/>
      <c r="AU121" s="77"/>
      <c r="AV121" s="80" t="str">
        <f>HYPERLINK("https://pbs.twimg.com/ext_tw_video_thumb/1653518631253188610/pu/img/Lrjuq1P_HiUE7brG.jpg")</f>
        <v>https://pbs.twimg.com/ext_tw_video_thumb/1653518631253188610/pu/img/Lrjuq1P_HiUE7brG.jpg</v>
      </c>
      <c r="AW121" s="82" t="s">
        <v>4455</v>
      </c>
      <c r="AX121" s="82" t="s">
        <v>4455</v>
      </c>
      <c r="AY121" s="77"/>
      <c r="AZ121" s="82" t="s">
        <v>5615</v>
      </c>
      <c r="BA121" s="82" t="s">
        <v>5615</v>
      </c>
      <c r="BB121" s="82" t="s">
        <v>5615</v>
      </c>
      <c r="BC121" s="82" t="s">
        <v>4455</v>
      </c>
      <c r="BD121" s="82" t="s">
        <v>5899</v>
      </c>
      <c r="BE121" s="77"/>
      <c r="BF121" s="77"/>
      <c r="BG121" s="77"/>
      <c r="BH121" s="77"/>
      <c r="BI121" s="77"/>
    </row>
    <row r="122" spans="1:61" x14ac:dyDescent="0.25">
      <c r="A122" s="62" t="s">
        <v>288</v>
      </c>
      <c r="B122" s="62" t="s">
        <v>288</v>
      </c>
      <c r="C122" s="63"/>
      <c r="D122" s="64"/>
      <c r="E122" s="65"/>
      <c r="F122" s="66"/>
      <c r="G122" s="63"/>
      <c r="H122" s="67"/>
      <c r="I122" s="68"/>
      <c r="J122" s="68"/>
      <c r="K122" s="32"/>
      <c r="L122" s="75">
        <v>122</v>
      </c>
      <c r="M122" s="75"/>
      <c r="N122" s="70"/>
      <c r="O122" s="77" t="s">
        <v>179</v>
      </c>
      <c r="P122" s="79">
        <v>45047.986307870371</v>
      </c>
      <c r="Q122" s="77" t="s">
        <v>705</v>
      </c>
      <c r="R122" s="77">
        <v>0</v>
      </c>
      <c r="S122" s="77">
        <v>0</v>
      </c>
      <c r="T122" s="77">
        <v>1</v>
      </c>
      <c r="U122" s="77">
        <v>0</v>
      </c>
      <c r="V122" s="77">
        <v>4</v>
      </c>
      <c r="W122" s="82" t="s">
        <v>1637</v>
      </c>
      <c r="X122" s="77"/>
      <c r="Y122" s="77"/>
      <c r="Z122" s="77"/>
      <c r="AA122" s="77" t="s">
        <v>2268</v>
      </c>
      <c r="AB122" s="77" t="s">
        <v>2713</v>
      </c>
      <c r="AC122" s="82" t="s">
        <v>2719</v>
      </c>
      <c r="AD122" s="77" t="s">
        <v>2752</v>
      </c>
      <c r="AE122" s="80" t="str">
        <f>HYPERLINK("https://twitter.com/luiswolftigre/status/1653182584480755716")</f>
        <v>https://twitter.com/luiswolftigre/status/1653182584480755716</v>
      </c>
      <c r="AF122" s="79">
        <v>45047.986307870371</v>
      </c>
      <c r="AG122" s="85">
        <v>45047</v>
      </c>
      <c r="AH122" s="82" t="s">
        <v>2879</v>
      </c>
      <c r="AI122" s="77" t="b">
        <v>0</v>
      </c>
      <c r="AJ122" s="77" t="s">
        <v>3736</v>
      </c>
      <c r="AK122" s="77" t="s">
        <v>3752</v>
      </c>
      <c r="AL122" s="77" t="s">
        <v>3755</v>
      </c>
      <c r="AM122" s="77" t="s">
        <v>3760</v>
      </c>
      <c r="AN122" s="77" t="s">
        <v>3776</v>
      </c>
      <c r="AO122" s="77" t="s">
        <v>3794</v>
      </c>
      <c r="AP122" s="77" t="s">
        <v>3808</v>
      </c>
      <c r="AQ122" s="77" t="s">
        <v>3894</v>
      </c>
      <c r="AR122" s="77">
        <v>12833</v>
      </c>
      <c r="AS122" s="77"/>
      <c r="AT122" s="77"/>
      <c r="AU122" s="77"/>
      <c r="AV122" s="80" t="str">
        <f>HYPERLINK("https://pbs.twimg.com/ext_tw_video_thumb/1653182530940485633/pu/img/zmB2LCCuLXykXfrW.jpg")</f>
        <v>https://pbs.twimg.com/ext_tw_video_thumb/1653182530940485633/pu/img/zmB2LCCuLXykXfrW.jpg</v>
      </c>
      <c r="AW122" s="82" t="s">
        <v>4456</v>
      </c>
      <c r="AX122" s="82" t="s">
        <v>4456</v>
      </c>
      <c r="AY122" s="77"/>
      <c r="AZ122" s="82" t="s">
        <v>5615</v>
      </c>
      <c r="BA122" s="82" t="s">
        <v>5615</v>
      </c>
      <c r="BB122" s="82" t="s">
        <v>5615</v>
      </c>
      <c r="BC122" s="82" t="s">
        <v>4456</v>
      </c>
      <c r="BD122" s="82" t="s">
        <v>5899</v>
      </c>
      <c r="BE122" s="77"/>
      <c r="BF122" s="77"/>
      <c r="BG122" s="77"/>
      <c r="BH122" s="77"/>
      <c r="BI122" s="77"/>
    </row>
    <row r="123" spans="1:61" x14ac:dyDescent="0.25">
      <c r="A123" s="62" t="s">
        <v>288</v>
      </c>
      <c r="B123" s="62" t="s">
        <v>288</v>
      </c>
      <c r="C123" s="63"/>
      <c r="D123" s="64"/>
      <c r="E123" s="65"/>
      <c r="F123" s="66"/>
      <c r="G123" s="63"/>
      <c r="H123" s="67"/>
      <c r="I123" s="68"/>
      <c r="J123" s="68"/>
      <c r="K123" s="32"/>
      <c r="L123" s="75">
        <v>123</v>
      </c>
      <c r="M123" s="75"/>
      <c r="N123" s="70"/>
      <c r="O123" s="77" t="s">
        <v>179</v>
      </c>
      <c r="P123" s="79">
        <v>45039.096770833334</v>
      </c>
      <c r="Q123" s="77" t="s">
        <v>706</v>
      </c>
      <c r="R123" s="77">
        <v>0</v>
      </c>
      <c r="S123" s="77">
        <v>1</v>
      </c>
      <c r="T123" s="77">
        <v>1</v>
      </c>
      <c r="U123" s="77">
        <v>0</v>
      </c>
      <c r="V123" s="77">
        <v>15</v>
      </c>
      <c r="W123" s="82" t="s">
        <v>1639</v>
      </c>
      <c r="X123" s="77"/>
      <c r="Y123" s="77"/>
      <c r="Z123" s="77"/>
      <c r="AA123" s="77" t="s">
        <v>2269</v>
      </c>
      <c r="AB123" s="77" t="s">
        <v>2713</v>
      </c>
      <c r="AC123" s="82" t="s">
        <v>2719</v>
      </c>
      <c r="AD123" s="77" t="s">
        <v>2755</v>
      </c>
      <c r="AE123" s="80" t="str">
        <f>HYPERLINK("https://twitter.com/luiswolftigre/status/1649961124148723712")</f>
        <v>https://twitter.com/luiswolftigre/status/1649961124148723712</v>
      </c>
      <c r="AF123" s="79">
        <v>45039.096770833334</v>
      </c>
      <c r="AG123" s="85">
        <v>45039</v>
      </c>
      <c r="AH123" s="82" t="s">
        <v>2880</v>
      </c>
      <c r="AI123" s="77" t="b">
        <v>0</v>
      </c>
      <c r="AJ123" s="77" t="s">
        <v>3736</v>
      </c>
      <c r="AK123" s="77" t="s">
        <v>3752</v>
      </c>
      <c r="AL123" s="77" t="s">
        <v>3755</v>
      </c>
      <c r="AM123" s="77" t="s">
        <v>3760</v>
      </c>
      <c r="AN123" s="77" t="s">
        <v>3776</v>
      </c>
      <c r="AO123" s="77" t="s">
        <v>3794</v>
      </c>
      <c r="AP123" s="77" t="s">
        <v>3808</v>
      </c>
      <c r="AQ123" s="77" t="s">
        <v>3895</v>
      </c>
      <c r="AR123" s="77">
        <v>12584</v>
      </c>
      <c r="AS123" s="77"/>
      <c r="AT123" s="77"/>
      <c r="AU123" s="77"/>
      <c r="AV123" s="80" t="str">
        <f>HYPERLINK("https://pbs.twimg.com/ext_tw_video_thumb/1649961082310520834/pu/img/vLy_nv3dPSxFEBEm.jpg")</f>
        <v>https://pbs.twimg.com/ext_tw_video_thumb/1649961082310520834/pu/img/vLy_nv3dPSxFEBEm.jpg</v>
      </c>
      <c r="AW123" s="82" t="s">
        <v>4457</v>
      </c>
      <c r="AX123" s="82" t="s">
        <v>4457</v>
      </c>
      <c r="AY123" s="77"/>
      <c r="AZ123" s="82" t="s">
        <v>5615</v>
      </c>
      <c r="BA123" s="82" t="s">
        <v>5615</v>
      </c>
      <c r="BB123" s="82" t="s">
        <v>5615</v>
      </c>
      <c r="BC123" s="82" t="s">
        <v>4457</v>
      </c>
      <c r="BD123" s="82" t="s">
        <v>5899</v>
      </c>
      <c r="BE123" s="77"/>
      <c r="BF123" s="77"/>
      <c r="BG123" s="77"/>
      <c r="BH123" s="77"/>
      <c r="BI123" s="77"/>
    </row>
    <row r="124" spans="1:61" x14ac:dyDescent="0.25">
      <c r="A124" s="62" t="s">
        <v>288</v>
      </c>
      <c r="B124" s="62" t="s">
        <v>288</v>
      </c>
      <c r="C124" s="63"/>
      <c r="D124" s="64"/>
      <c r="E124" s="65"/>
      <c r="F124" s="66"/>
      <c r="G124" s="63"/>
      <c r="H124" s="67"/>
      <c r="I124" s="68"/>
      <c r="J124" s="68"/>
      <c r="K124" s="32"/>
      <c r="L124" s="75">
        <v>124</v>
      </c>
      <c r="M124" s="75"/>
      <c r="N124" s="70"/>
      <c r="O124" s="77" t="s">
        <v>179</v>
      </c>
      <c r="P124" s="79">
        <v>45038.842141203706</v>
      </c>
      <c r="Q124" s="77" t="s">
        <v>707</v>
      </c>
      <c r="R124" s="77">
        <v>0</v>
      </c>
      <c r="S124" s="77">
        <v>1</v>
      </c>
      <c r="T124" s="77">
        <v>1</v>
      </c>
      <c r="U124" s="77">
        <v>0</v>
      </c>
      <c r="V124" s="77">
        <v>9</v>
      </c>
      <c r="W124" s="82" t="s">
        <v>1637</v>
      </c>
      <c r="X124" s="77"/>
      <c r="Y124" s="77"/>
      <c r="Z124" s="77"/>
      <c r="AA124" s="77" t="s">
        <v>2270</v>
      </c>
      <c r="AB124" s="77" t="s">
        <v>2713</v>
      </c>
      <c r="AC124" s="82" t="s">
        <v>2719</v>
      </c>
      <c r="AD124" s="77" t="s">
        <v>2752</v>
      </c>
      <c r="AE124" s="80" t="str">
        <f>HYPERLINK("https://twitter.com/luiswolftigre/status/1649868851067191298")</f>
        <v>https://twitter.com/luiswolftigre/status/1649868851067191298</v>
      </c>
      <c r="AF124" s="79">
        <v>45038.842141203706</v>
      </c>
      <c r="AG124" s="85">
        <v>45038</v>
      </c>
      <c r="AH124" s="82" t="s">
        <v>2881</v>
      </c>
      <c r="AI124" s="77" t="b">
        <v>0</v>
      </c>
      <c r="AJ124" s="77" t="s">
        <v>3736</v>
      </c>
      <c r="AK124" s="77" t="s">
        <v>3752</v>
      </c>
      <c r="AL124" s="77" t="s">
        <v>3755</v>
      </c>
      <c r="AM124" s="77" t="s">
        <v>3760</v>
      </c>
      <c r="AN124" s="77" t="s">
        <v>3776</v>
      </c>
      <c r="AO124" s="77" t="s">
        <v>3794</v>
      </c>
      <c r="AP124" s="77" t="s">
        <v>3808</v>
      </c>
      <c r="AQ124" s="77" t="s">
        <v>3896</v>
      </c>
      <c r="AR124" s="77">
        <v>7174</v>
      </c>
      <c r="AS124" s="77"/>
      <c r="AT124" s="77"/>
      <c r="AU124" s="77"/>
      <c r="AV124" s="80" t="str">
        <f>HYPERLINK("https://pbs.twimg.com/ext_tw_video_thumb/1649868811456184321/pu/img/n682kmsM4XPIsRrL.jpg")</f>
        <v>https://pbs.twimg.com/ext_tw_video_thumb/1649868811456184321/pu/img/n682kmsM4XPIsRrL.jpg</v>
      </c>
      <c r="AW124" s="82" t="s">
        <v>4458</v>
      </c>
      <c r="AX124" s="82" t="s">
        <v>4458</v>
      </c>
      <c r="AY124" s="77"/>
      <c r="AZ124" s="82" t="s">
        <v>5615</v>
      </c>
      <c r="BA124" s="82" t="s">
        <v>5615</v>
      </c>
      <c r="BB124" s="82" t="s">
        <v>5615</v>
      </c>
      <c r="BC124" s="82" t="s">
        <v>4458</v>
      </c>
      <c r="BD124" s="82" t="s">
        <v>5899</v>
      </c>
      <c r="BE124" s="77"/>
      <c r="BF124" s="77"/>
      <c r="BG124" s="77"/>
      <c r="BH124" s="77"/>
      <c r="BI124" s="77"/>
    </row>
    <row r="125" spans="1:61" x14ac:dyDescent="0.25">
      <c r="A125" s="62" t="s">
        <v>288</v>
      </c>
      <c r="B125" s="62" t="s">
        <v>288</v>
      </c>
      <c r="C125" s="63"/>
      <c r="D125" s="64"/>
      <c r="E125" s="65"/>
      <c r="F125" s="66"/>
      <c r="G125" s="63"/>
      <c r="H125" s="67"/>
      <c r="I125" s="68"/>
      <c r="J125" s="68"/>
      <c r="K125" s="32"/>
      <c r="L125" s="75">
        <v>125</v>
      </c>
      <c r="M125" s="75"/>
      <c r="N125" s="70"/>
      <c r="O125" s="77" t="s">
        <v>179</v>
      </c>
      <c r="P125" s="79">
        <v>45037.682233796295</v>
      </c>
      <c r="Q125" s="77" t="s">
        <v>708</v>
      </c>
      <c r="R125" s="77">
        <v>0</v>
      </c>
      <c r="S125" s="77">
        <v>1</v>
      </c>
      <c r="T125" s="77">
        <v>1</v>
      </c>
      <c r="U125" s="77">
        <v>0</v>
      </c>
      <c r="V125" s="77">
        <v>8</v>
      </c>
      <c r="W125" s="82" t="s">
        <v>1637</v>
      </c>
      <c r="X125" s="77"/>
      <c r="Y125" s="77"/>
      <c r="Z125" s="77"/>
      <c r="AA125" s="77" t="s">
        <v>2271</v>
      </c>
      <c r="AB125" s="77" t="s">
        <v>2713</v>
      </c>
      <c r="AC125" s="82" t="s">
        <v>2719</v>
      </c>
      <c r="AD125" s="77" t="s">
        <v>2752</v>
      </c>
      <c r="AE125" s="80" t="str">
        <f>HYPERLINK("https://twitter.com/luiswolftigre/status/1649448514613592066")</f>
        <v>https://twitter.com/luiswolftigre/status/1649448514613592066</v>
      </c>
      <c r="AF125" s="79">
        <v>45037.682233796295</v>
      </c>
      <c r="AG125" s="85">
        <v>45037</v>
      </c>
      <c r="AH125" s="82" t="s">
        <v>2882</v>
      </c>
      <c r="AI125" s="77" t="b">
        <v>0</v>
      </c>
      <c r="AJ125" s="77" t="s">
        <v>3736</v>
      </c>
      <c r="AK125" s="77" t="s">
        <v>3752</v>
      </c>
      <c r="AL125" s="77" t="s">
        <v>3755</v>
      </c>
      <c r="AM125" s="77" t="s">
        <v>3760</v>
      </c>
      <c r="AN125" s="77" t="s">
        <v>3776</v>
      </c>
      <c r="AO125" s="77" t="s">
        <v>3794</v>
      </c>
      <c r="AP125" s="77" t="s">
        <v>3808</v>
      </c>
      <c r="AQ125" s="77" t="s">
        <v>3897</v>
      </c>
      <c r="AR125" s="77">
        <v>13234</v>
      </c>
      <c r="AS125" s="77"/>
      <c r="AT125" s="77"/>
      <c r="AU125" s="77"/>
      <c r="AV125" s="80" t="str">
        <f>HYPERLINK("https://pbs.twimg.com/ext_tw_video_thumb/1649448461136195584/pu/img/MkG7PYKl48p_WkL8.jpg")</f>
        <v>https://pbs.twimg.com/ext_tw_video_thumb/1649448461136195584/pu/img/MkG7PYKl48p_WkL8.jpg</v>
      </c>
      <c r="AW125" s="82" t="s">
        <v>4459</v>
      </c>
      <c r="AX125" s="82" t="s">
        <v>4459</v>
      </c>
      <c r="AY125" s="77"/>
      <c r="AZ125" s="82" t="s">
        <v>5615</v>
      </c>
      <c r="BA125" s="82" t="s">
        <v>5615</v>
      </c>
      <c r="BB125" s="82" t="s">
        <v>5615</v>
      </c>
      <c r="BC125" s="82" t="s">
        <v>4459</v>
      </c>
      <c r="BD125" s="82" t="s">
        <v>5899</v>
      </c>
      <c r="BE125" s="77"/>
      <c r="BF125" s="77"/>
      <c r="BG125" s="77"/>
      <c r="BH125" s="77"/>
      <c r="BI125" s="77"/>
    </row>
    <row r="126" spans="1:61" x14ac:dyDescent="0.25">
      <c r="A126" s="62" t="s">
        <v>288</v>
      </c>
      <c r="B126" s="62" t="s">
        <v>288</v>
      </c>
      <c r="C126" s="63"/>
      <c r="D126" s="64"/>
      <c r="E126" s="65"/>
      <c r="F126" s="66"/>
      <c r="G126" s="63"/>
      <c r="H126" s="67"/>
      <c r="I126" s="68"/>
      <c r="J126" s="68"/>
      <c r="K126" s="32"/>
      <c r="L126" s="75">
        <v>126</v>
      </c>
      <c r="M126" s="75"/>
      <c r="N126" s="70"/>
      <c r="O126" s="77" t="s">
        <v>179</v>
      </c>
      <c r="P126" s="79">
        <v>45037.069027777776</v>
      </c>
      <c r="Q126" s="77" t="s">
        <v>709</v>
      </c>
      <c r="R126" s="77">
        <v>0</v>
      </c>
      <c r="S126" s="77">
        <v>1</v>
      </c>
      <c r="T126" s="77">
        <v>1</v>
      </c>
      <c r="U126" s="77">
        <v>0</v>
      </c>
      <c r="V126" s="77">
        <v>17</v>
      </c>
      <c r="W126" s="82" t="s">
        <v>1637</v>
      </c>
      <c r="X126" s="77"/>
      <c r="Y126" s="77"/>
      <c r="Z126" s="77"/>
      <c r="AA126" s="77" t="s">
        <v>2272</v>
      </c>
      <c r="AB126" s="77" t="s">
        <v>2713</v>
      </c>
      <c r="AC126" s="82" t="s">
        <v>2719</v>
      </c>
      <c r="AD126" s="77" t="s">
        <v>2755</v>
      </c>
      <c r="AE126" s="80" t="str">
        <f>HYPERLINK("https://twitter.com/luiswolftigre/status/1649226296726024192")</f>
        <v>https://twitter.com/luiswolftigre/status/1649226296726024192</v>
      </c>
      <c r="AF126" s="79">
        <v>45037.069027777776</v>
      </c>
      <c r="AG126" s="85">
        <v>45037</v>
      </c>
      <c r="AH126" s="82" t="s">
        <v>2883</v>
      </c>
      <c r="AI126" s="77" t="b">
        <v>0</v>
      </c>
      <c r="AJ126" s="77" t="s">
        <v>3736</v>
      </c>
      <c r="AK126" s="77" t="s">
        <v>3752</v>
      </c>
      <c r="AL126" s="77" t="s">
        <v>3755</v>
      </c>
      <c r="AM126" s="77" t="s">
        <v>3760</v>
      </c>
      <c r="AN126" s="77" t="s">
        <v>3776</v>
      </c>
      <c r="AO126" s="77" t="s">
        <v>3794</v>
      </c>
      <c r="AP126" s="77" t="s">
        <v>3808</v>
      </c>
      <c r="AQ126" s="77" t="s">
        <v>3898</v>
      </c>
      <c r="AR126" s="77">
        <v>14047</v>
      </c>
      <c r="AS126" s="77"/>
      <c r="AT126" s="77"/>
      <c r="AU126" s="77"/>
      <c r="AV126" s="80" t="str">
        <f>HYPERLINK("https://pbs.twimg.com/ext_tw_video_thumb/1649226240694403072/pu/img/_iplhvgjLODZYf6O.jpg")</f>
        <v>https://pbs.twimg.com/ext_tw_video_thumb/1649226240694403072/pu/img/_iplhvgjLODZYf6O.jpg</v>
      </c>
      <c r="AW126" s="82" t="s">
        <v>4460</v>
      </c>
      <c r="AX126" s="82" t="s">
        <v>4460</v>
      </c>
      <c r="AY126" s="77"/>
      <c r="AZ126" s="82" t="s">
        <v>5615</v>
      </c>
      <c r="BA126" s="82" t="s">
        <v>5615</v>
      </c>
      <c r="BB126" s="82" t="s">
        <v>5615</v>
      </c>
      <c r="BC126" s="82" t="s">
        <v>4460</v>
      </c>
      <c r="BD126" s="82" t="s">
        <v>5899</v>
      </c>
      <c r="BE126" s="77"/>
      <c r="BF126" s="77"/>
      <c r="BG126" s="77"/>
      <c r="BH126" s="77"/>
      <c r="BI126" s="77"/>
    </row>
    <row r="127" spans="1:61" x14ac:dyDescent="0.25">
      <c r="A127" s="62" t="s">
        <v>288</v>
      </c>
      <c r="B127" s="62" t="s">
        <v>288</v>
      </c>
      <c r="C127" s="63"/>
      <c r="D127" s="64"/>
      <c r="E127" s="65"/>
      <c r="F127" s="66"/>
      <c r="G127" s="63"/>
      <c r="H127" s="67"/>
      <c r="I127" s="68"/>
      <c r="J127" s="68"/>
      <c r="K127" s="32"/>
      <c r="L127" s="75">
        <v>127</v>
      </c>
      <c r="M127" s="75"/>
      <c r="N127" s="70"/>
      <c r="O127" s="77" t="s">
        <v>179</v>
      </c>
      <c r="P127" s="79">
        <v>45036.863009259258</v>
      </c>
      <c r="Q127" s="77" t="s">
        <v>710</v>
      </c>
      <c r="R127" s="77">
        <v>0</v>
      </c>
      <c r="S127" s="77">
        <v>1</v>
      </c>
      <c r="T127" s="77">
        <v>1</v>
      </c>
      <c r="U127" s="77">
        <v>0</v>
      </c>
      <c r="V127" s="77">
        <v>10</v>
      </c>
      <c r="W127" s="82" t="s">
        <v>1637</v>
      </c>
      <c r="X127" s="77"/>
      <c r="Y127" s="77"/>
      <c r="Z127" s="77"/>
      <c r="AA127" s="77" t="s">
        <v>2273</v>
      </c>
      <c r="AB127" s="77" t="s">
        <v>2713</v>
      </c>
      <c r="AC127" s="82" t="s">
        <v>2719</v>
      </c>
      <c r="AD127" s="77" t="s">
        <v>2752</v>
      </c>
      <c r="AE127" s="80" t="str">
        <f>HYPERLINK("https://twitter.com/luiswolftigre/status/1649151636688760832")</f>
        <v>https://twitter.com/luiswolftigre/status/1649151636688760832</v>
      </c>
      <c r="AF127" s="79">
        <v>45036.863009259258</v>
      </c>
      <c r="AG127" s="85">
        <v>45036</v>
      </c>
      <c r="AH127" s="82" t="s">
        <v>2884</v>
      </c>
      <c r="AI127" s="77" t="b">
        <v>0</v>
      </c>
      <c r="AJ127" s="77" t="s">
        <v>3736</v>
      </c>
      <c r="AK127" s="77" t="s">
        <v>3752</v>
      </c>
      <c r="AL127" s="77" t="s">
        <v>3755</v>
      </c>
      <c r="AM127" s="77" t="s">
        <v>3760</v>
      </c>
      <c r="AN127" s="77" t="s">
        <v>3776</v>
      </c>
      <c r="AO127" s="77" t="s">
        <v>3794</v>
      </c>
      <c r="AP127" s="77" t="s">
        <v>3808</v>
      </c>
      <c r="AQ127" s="77" t="s">
        <v>3899</v>
      </c>
      <c r="AR127" s="77">
        <v>8614</v>
      </c>
      <c r="AS127" s="77"/>
      <c r="AT127" s="77"/>
      <c r="AU127" s="77"/>
      <c r="AV127" s="80" t="str">
        <f>HYPERLINK("https://pbs.twimg.com/ext_tw_video_thumb/1649151615360725011/pu/img/mA4CNxqS-4yse81b.jpg")</f>
        <v>https://pbs.twimg.com/ext_tw_video_thumb/1649151615360725011/pu/img/mA4CNxqS-4yse81b.jpg</v>
      </c>
      <c r="AW127" s="82" t="s">
        <v>4461</v>
      </c>
      <c r="AX127" s="82" t="s">
        <v>4461</v>
      </c>
      <c r="AY127" s="77"/>
      <c r="AZ127" s="82" t="s">
        <v>5615</v>
      </c>
      <c r="BA127" s="82" t="s">
        <v>5615</v>
      </c>
      <c r="BB127" s="82" t="s">
        <v>5615</v>
      </c>
      <c r="BC127" s="82" t="s">
        <v>4461</v>
      </c>
      <c r="BD127" s="82" t="s">
        <v>5899</v>
      </c>
      <c r="BE127" s="77"/>
      <c r="BF127" s="77"/>
      <c r="BG127" s="77"/>
      <c r="BH127" s="77"/>
      <c r="BI127" s="77"/>
    </row>
    <row r="128" spans="1:61" x14ac:dyDescent="0.25">
      <c r="A128" s="62" t="s">
        <v>288</v>
      </c>
      <c r="B128" s="62" t="s">
        <v>288</v>
      </c>
      <c r="C128" s="63"/>
      <c r="D128" s="64"/>
      <c r="E128" s="65"/>
      <c r="F128" s="66"/>
      <c r="G128" s="63"/>
      <c r="H128" s="67"/>
      <c r="I128" s="68"/>
      <c r="J128" s="68"/>
      <c r="K128" s="32"/>
      <c r="L128" s="75">
        <v>128</v>
      </c>
      <c r="M128" s="75"/>
      <c r="N128" s="70"/>
      <c r="O128" s="77" t="s">
        <v>179</v>
      </c>
      <c r="P128" s="79">
        <v>45036.009027777778</v>
      </c>
      <c r="Q128" s="77" t="s">
        <v>711</v>
      </c>
      <c r="R128" s="77">
        <v>0</v>
      </c>
      <c r="S128" s="77">
        <v>2</v>
      </c>
      <c r="T128" s="77">
        <v>1</v>
      </c>
      <c r="U128" s="77">
        <v>0</v>
      </c>
      <c r="V128" s="77">
        <v>7</v>
      </c>
      <c r="W128" s="82" t="s">
        <v>1637</v>
      </c>
      <c r="X128" s="77"/>
      <c r="Y128" s="77"/>
      <c r="Z128" s="77"/>
      <c r="AA128" s="77" t="s">
        <v>2274</v>
      </c>
      <c r="AB128" s="77" t="s">
        <v>2713</v>
      </c>
      <c r="AC128" s="82" t="s">
        <v>2719</v>
      </c>
      <c r="AD128" s="77" t="s">
        <v>2755</v>
      </c>
      <c r="AE128" s="80" t="str">
        <f>HYPERLINK("https://twitter.com/luiswolftigre/status/1648842164577656832")</f>
        <v>https://twitter.com/luiswolftigre/status/1648842164577656832</v>
      </c>
      <c r="AF128" s="79">
        <v>45036.009027777778</v>
      </c>
      <c r="AG128" s="85">
        <v>45036</v>
      </c>
      <c r="AH128" s="82" t="s">
        <v>2885</v>
      </c>
      <c r="AI128" s="77" t="b">
        <v>0</v>
      </c>
      <c r="AJ128" s="77" t="s">
        <v>3736</v>
      </c>
      <c r="AK128" s="77" t="s">
        <v>3752</v>
      </c>
      <c r="AL128" s="77" t="s">
        <v>3755</v>
      </c>
      <c r="AM128" s="77" t="s">
        <v>3760</v>
      </c>
      <c r="AN128" s="77" t="s">
        <v>3776</v>
      </c>
      <c r="AO128" s="77" t="s">
        <v>3794</v>
      </c>
      <c r="AP128" s="77" t="s">
        <v>3808</v>
      </c>
      <c r="AQ128" s="77" t="s">
        <v>3900</v>
      </c>
      <c r="AR128" s="77">
        <v>9055</v>
      </c>
      <c r="AS128" s="77"/>
      <c r="AT128" s="77"/>
      <c r="AU128" s="77"/>
      <c r="AV128" s="80" t="str">
        <f>HYPERLINK("https://pbs.twimg.com/ext_tw_video_thumb/1648842122236141570/pu/img/9T-vXnh_KO20iRZP.jpg")</f>
        <v>https://pbs.twimg.com/ext_tw_video_thumb/1648842122236141570/pu/img/9T-vXnh_KO20iRZP.jpg</v>
      </c>
      <c r="AW128" s="82" t="s">
        <v>4462</v>
      </c>
      <c r="AX128" s="82" t="s">
        <v>4462</v>
      </c>
      <c r="AY128" s="77"/>
      <c r="AZ128" s="82" t="s">
        <v>5615</v>
      </c>
      <c r="BA128" s="82" t="s">
        <v>5615</v>
      </c>
      <c r="BB128" s="82" t="s">
        <v>5615</v>
      </c>
      <c r="BC128" s="82" t="s">
        <v>4462</v>
      </c>
      <c r="BD128" s="82" t="s">
        <v>5899</v>
      </c>
      <c r="BE128" s="77"/>
      <c r="BF128" s="77"/>
      <c r="BG128" s="77"/>
      <c r="BH128" s="77"/>
      <c r="BI128" s="77"/>
    </row>
    <row r="129" spans="1:61" x14ac:dyDescent="0.25">
      <c r="A129" s="62" t="s">
        <v>288</v>
      </c>
      <c r="B129" s="62" t="s">
        <v>288</v>
      </c>
      <c r="C129" s="63"/>
      <c r="D129" s="64"/>
      <c r="E129" s="65"/>
      <c r="F129" s="66"/>
      <c r="G129" s="63"/>
      <c r="H129" s="67"/>
      <c r="I129" s="68"/>
      <c r="J129" s="68"/>
      <c r="K129" s="32"/>
      <c r="L129" s="75">
        <v>129</v>
      </c>
      <c r="M129" s="75"/>
      <c r="N129" s="70"/>
      <c r="O129" s="77" t="s">
        <v>179</v>
      </c>
      <c r="P129" s="79">
        <v>45034.999293981484</v>
      </c>
      <c r="Q129" s="77" t="s">
        <v>712</v>
      </c>
      <c r="R129" s="77">
        <v>0</v>
      </c>
      <c r="S129" s="77">
        <v>1</v>
      </c>
      <c r="T129" s="77">
        <v>1</v>
      </c>
      <c r="U129" s="77">
        <v>0</v>
      </c>
      <c r="V129" s="77">
        <v>7</v>
      </c>
      <c r="W129" s="82" t="s">
        <v>1637</v>
      </c>
      <c r="X129" s="77"/>
      <c r="Y129" s="77"/>
      <c r="Z129" s="77"/>
      <c r="AA129" s="77" t="s">
        <v>2275</v>
      </c>
      <c r="AB129" s="77" t="s">
        <v>2713</v>
      </c>
      <c r="AC129" s="82" t="s">
        <v>2719</v>
      </c>
      <c r="AD129" s="77" t="s">
        <v>2752</v>
      </c>
      <c r="AE129" s="80" t="str">
        <f>HYPERLINK("https://twitter.com/luiswolftigre/status/1648476249822744581")</f>
        <v>https://twitter.com/luiswolftigre/status/1648476249822744581</v>
      </c>
      <c r="AF129" s="79">
        <v>45034.999293981484</v>
      </c>
      <c r="AG129" s="85">
        <v>45034</v>
      </c>
      <c r="AH129" s="82" t="s">
        <v>2886</v>
      </c>
      <c r="AI129" s="77" t="b">
        <v>0</v>
      </c>
      <c r="AJ129" s="77" t="s">
        <v>3736</v>
      </c>
      <c r="AK129" s="77" t="s">
        <v>3752</v>
      </c>
      <c r="AL129" s="77" t="s">
        <v>3755</v>
      </c>
      <c r="AM129" s="77" t="s">
        <v>3760</v>
      </c>
      <c r="AN129" s="77" t="s">
        <v>3776</v>
      </c>
      <c r="AO129" s="77" t="s">
        <v>3794</v>
      </c>
      <c r="AP129" s="77" t="s">
        <v>3808</v>
      </c>
      <c r="AQ129" s="77" t="s">
        <v>3901</v>
      </c>
      <c r="AR129" s="77">
        <v>7900</v>
      </c>
      <c r="AS129" s="77"/>
      <c r="AT129" s="77"/>
      <c r="AU129" s="77"/>
      <c r="AV129" s="80" t="str">
        <f>HYPERLINK("https://pbs.twimg.com/ext_tw_video_thumb/1648476199809863681/pu/img/_GIHyZBGZq27Uaz7.jpg")</f>
        <v>https://pbs.twimg.com/ext_tw_video_thumb/1648476199809863681/pu/img/_GIHyZBGZq27Uaz7.jpg</v>
      </c>
      <c r="AW129" s="82" t="s">
        <v>4463</v>
      </c>
      <c r="AX129" s="82" t="s">
        <v>4463</v>
      </c>
      <c r="AY129" s="77"/>
      <c r="AZ129" s="82" t="s">
        <v>5615</v>
      </c>
      <c r="BA129" s="82" t="s">
        <v>5615</v>
      </c>
      <c r="BB129" s="82" t="s">
        <v>5615</v>
      </c>
      <c r="BC129" s="82" t="s">
        <v>4463</v>
      </c>
      <c r="BD129" s="82" t="s">
        <v>5899</v>
      </c>
      <c r="BE129" s="77"/>
      <c r="BF129" s="77"/>
      <c r="BG129" s="77"/>
      <c r="BH129" s="77"/>
      <c r="BI129" s="77"/>
    </row>
    <row r="130" spans="1:61" x14ac:dyDescent="0.25">
      <c r="A130" s="62" t="s">
        <v>288</v>
      </c>
      <c r="B130" s="62" t="s">
        <v>288</v>
      </c>
      <c r="C130" s="63"/>
      <c r="D130" s="64"/>
      <c r="E130" s="65"/>
      <c r="F130" s="66"/>
      <c r="G130" s="63"/>
      <c r="H130" s="67"/>
      <c r="I130" s="68"/>
      <c r="J130" s="68"/>
      <c r="K130" s="32"/>
      <c r="L130" s="75">
        <v>130</v>
      </c>
      <c r="M130" s="75"/>
      <c r="N130" s="70"/>
      <c r="O130" s="77" t="s">
        <v>179</v>
      </c>
      <c r="P130" s="79">
        <v>45016.002210648148</v>
      </c>
      <c r="Q130" s="77" t="s">
        <v>713</v>
      </c>
      <c r="R130" s="77">
        <v>0</v>
      </c>
      <c r="S130" s="77">
        <v>0</v>
      </c>
      <c r="T130" s="77">
        <v>1</v>
      </c>
      <c r="U130" s="77">
        <v>0</v>
      </c>
      <c r="V130" s="77">
        <v>32</v>
      </c>
      <c r="W130" s="82" t="s">
        <v>1640</v>
      </c>
      <c r="X130" s="77"/>
      <c r="Y130" s="77"/>
      <c r="Z130" s="77"/>
      <c r="AA130" s="77" t="s">
        <v>2276</v>
      </c>
      <c r="AB130" s="77" t="s">
        <v>2713</v>
      </c>
      <c r="AC130" s="82" t="s">
        <v>2719</v>
      </c>
      <c r="AD130" s="77" t="s">
        <v>2752</v>
      </c>
      <c r="AE130" s="80" t="str">
        <f>HYPERLINK("https://twitter.com/luiswolftigre/status/1641591935520366593")</f>
        <v>https://twitter.com/luiswolftigre/status/1641591935520366593</v>
      </c>
      <c r="AF130" s="79">
        <v>45016.002210648148</v>
      </c>
      <c r="AG130" s="85">
        <v>45016</v>
      </c>
      <c r="AH130" s="82" t="s">
        <v>2887</v>
      </c>
      <c r="AI130" s="77" t="b">
        <v>0</v>
      </c>
      <c r="AJ130" s="77" t="s">
        <v>3736</v>
      </c>
      <c r="AK130" s="77" t="s">
        <v>3752</v>
      </c>
      <c r="AL130" s="77" t="s">
        <v>3755</v>
      </c>
      <c r="AM130" s="77" t="s">
        <v>3760</v>
      </c>
      <c r="AN130" s="77" t="s">
        <v>3776</v>
      </c>
      <c r="AO130" s="77" t="s">
        <v>3794</v>
      </c>
      <c r="AP130" s="77" t="s">
        <v>3808</v>
      </c>
      <c r="AQ130" s="77" t="s">
        <v>3902</v>
      </c>
      <c r="AR130" s="77">
        <v>12050</v>
      </c>
      <c r="AS130" s="77"/>
      <c r="AT130" s="77"/>
      <c r="AU130" s="77"/>
      <c r="AV130" s="80" t="str">
        <f>HYPERLINK("https://pbs.twimg.com/ext_tw_video_thumb/1641591889441767424/pu/img/ATANlSEfSVyQ1pPF.jpg")</f>
        <v>https://pbs.twimg.com/ext_tw_video_thumb/1641591889441767424/pu/img/ATANlSEfSVyQ1pPF.jpg</v>
      </c>
      <c r="AW130" s="82" t="s">
        <v>4464</v>
      </c>
      <c r="AX130" s="82" t="s">
        <v>4464</v>
      </c>
      <c r="AY130" s="77"/>
      <c r="AZ130" s="82" t="s">
        <v>5615</v>
      </c>
      <c r="BA130" s="82" t="s">
        <v>5615</v>
      </c>
      <c r="BB130" s="82" t="s">
        <v>5615</v>
      </c>
      <c r="BC130" s="82" t="s">
        <v>4464</v>
      </c>
      <c r="BD130" s="82" t="s">
        <v>5899</v>
      </c>
      <c r="BE130" s="77"/>
      <c r="BF130" s="77"/>
      <c r="BG130" s="77"/>
      <c r="BH130" s="77"/>
      <c r="BI130" s="77"/>
    </row>
    <row r="131" spans="1:61" x14ac:dyDescent="0.25">
      <c r="A131" s="62" t="s">
        <v>288</v>
      </c>
      <c r="B131" s="62" t="s">
        <v>288</v>
      </c>
      <c r="C131" s="63"/>
      <c r="D131" s="64"/>
      <c r="E131" s="65"/>
      <c r="F131" s="66"/>
      <c r="G131" s="63"/>
      <c r="H131" s="67"/>
      <c r="I131" s="68"/>
      <c r="J131" s="68"/>
      <c r="K131" s="32"/>
      <c r="L131" s="75">
        <v>131</v>
      </c>
      <c r="M131" s="75"/>
      <c r="N131" s="70"/>
      <c r="O131" s="77" t="s">
        <v>179</v>
      </c>
      <c r="P131" s="79">
        <v>45015.014363425929</v>
      </c>
      <c r="Q131" s="77" t="s">
        <v>714</v>
      </c>
      <c r="R131" s="77">
        <v>0</v>
      </c>
      <c r="S131" s="77">
        <v>1</v>
      </c>
      <c r="T131" s="77">
        <v>1</v>
      </c>
      <c r="U131" s="77">
        <v>0</v>
      </c>
      <c r="V131" s="77">
        <v>10</v>
      </c>
      <c r="W131" s="82" t="s">
        <v>1637</v>
      </c>
      <c r="X131" s="77"/>
      <c r="Y131" s="77"/>
      <c r="Z131" s="77"/>
      <c r="AA131" s="77" t="s">
        <v>2277</v>
      </c>
      <c r="AB131" s="77" t="s">
        <v>2713</v>
      </c>
      <c r="AC131" s="82" t="s">
        <v>2719</v>
      </c>
      <c r="AD131" s="77" t="s">
        <v>2757</v>
      </c>
      <c r="AE131" s="80" t="str">
        <f>HYPERLINK("https://twitter.com/luiswolftigre/status/1641233950520627200")</f>
        <v>https://twitter.com/luiswolftigre/status/1641233950520627200</v>
      </c>
      <c r="AF131" s="79">
        <v>45015.014363425929</v>
      </c>
      <c r="AG131" s="85">
        <v>45015</v>
      </c>
      <c r="AH131" s="82" t="s">
        <v>2888</v>
      </c>
      <c r="AI131" s="77" t="b">
        <v>0</v>
      </c>
      <c r="AJ131" s="77" t="s">
        <v>3736</v>
      </c>
      <c r="AK131" s="77" t="s">
        <v>3752</v>
      </c>
      <c r="AL131" s="77" t="s">
        <v>3755</v>
      </c>
      <c r="AM131" s="77" t="s">
        <v>3760</v>
      </c>
      <c r="AN131" s="77" t="s">
        <v>3776</v>
      </c>
      <c r="AO131" s="77" t="s">
        <v>3794</v>
      </c>
      <c r="AP131" s="77" t="s">
        <v>3808</v>
      </c>
      <c r="AQ131" s="77" t="s">
        <v>3903</v>
      </c>
      <c r="AR131" s="77">
        <v>7174</v>
      </c>
      <c r="AS131" s="77"/>
      <c r="AT131" s="77"/>
      <c r="AU131" s="77"/>
      <c r="AV131" s="80" t="str">
        <f>HYPERLINK("https://pbs.twimg.com/ext_tw_video_thumb/1641233907948331010/pu/img/OhgkmEswRh7YHiYU.jpg")</f>
        <v>https://pbs.twimg.com/ext_tw_video_thumb/1641233907948331010/pu/img/OhgkmEswRh7YHiYU.jpg</v>
      </c>
      <c r="AW131" s="82" t="s">
        <v>4465</v>
      </c>
      <c r="AX131" s="82" t="s">
        <v>4465</v>
      </c>
      <c r="AY131" s="77"/>
      <c r="AZ131" s="82" t="s">
        <v>5615</v>
      </c>
      <c r="BA131" s="82" t="s">
        <v>5615</v>
      </c>
      <c r="BB131" s="82" t="s">
        <v>5615</v>
      </c>
      <c r="BC131" s="82" t="s">
        <v>4465</v>
      </c>
      <c r="BD131" s="82" t="s">
        <v>5899</v>
      </c>
      <c r="BE131" s="77"/>
      <c r="BF131" s="77"/>
      <c r="BG131" s="77"/>
      <c r="BH131" s="77"/>
      <c r="BI131" s="77"/>
    </row>
    <row r="132" spans="1:61" x14ac:dyDescent="0.25">
      <c r="A132" s="62" t="s">
        <v>288</v>
      </c>
      <c r="B132" s="62" t="s">
        <v>288</v>
      </c>
      <c r="C132" s="63"/>
      <c r="D132" s="64"/>
      <c r="E132" s="65"/>
      <c r="F132" s="66"/>
      <c r="G132" s="63"/>
      <c r="H132" s="67"/>
      <c r="I132" s="68"/>
      <c r="J132" s="68"/>
      <c r="K132" s="32"/>
      <c r="L132" s="75">
        <v>132</v>
      </c>
      <c r="M132" s="75"/>
      <c r="N132" s="70"/>
      <c r="O132" s="77" t="s">
        <v>179</v>
      </c>
      <c r="P132" s="79">
        <v>45013.968356481484</v>
      </c>
      <c r="Q132" s="77" t="s">
        <v>715</v>
      </c>
      <c r="R132" s="77">
        <v>0</v>
      </c>
      <c r="S132" s="77">
        <v>1</v>
      </c>
      <c r="T132" s="77">
        <v>1</v>
      </c>
      <c r="U132" s="77">
        <v>0</v>
      </c>
      <c r="V132" s="77">
        <v>32</v>
      </c>
      <c r="W132" s="82" t="s">
        <v>1641</v>
      </c>
      <c r="X132" s="77"/>
      <c r="Y132" s="77"/>
      <c r="Z132" s="77"/>
      <c r="AA132" s="77" t="s">
        <v>2278</v>
      </c>
      <c r="AB132" s="77" t="s">
        <v>2713</v>
      </c>
      <c r="AC132" s="82" t="s">
        <v>2719</v>
      </c>
      <c r="AD132" s="77" t="s">
        <v>2752</v>
      </c>
      <c r="AE132" s="80" t="str">
        <f>HYPERLINK("https://twitter.com/luiswolftigre/status/1640854893085835270")</f>
        <v>https://twitter.com/luiswolftigre/status/1640854893085835270</v>
      </c>
      <c r="AF132" s="79">
        <v>45013.968356481484</v>
      </c>
      <c r="AG132" s="85">
        <v>45013</v>
      </c>
      <c r="AH132" s="82" t="s">
        <v>2889</v>
      </c>
      <c r="AI132" s="77" t="b">
        <v>0</v>
      </c>
      <c r="AJ132" s="77" t="s">
        <v>3736</v>
      </c>
      <c r="AK132" s="77" t="s">
        <v>3752</v>
      </c>
      <c r="AL132" s="77" t="s">
        <v>3755</v>
      </c>
      <c r="AM132" s="77" t="s">
        <v>3760</v>
      </c>
      <c r="AN132" s="77" t="s">
        <v>3776</v>
      </c>
      <c r="AO132" s="77" t="s">
        <v>3794</v>
      </c>
      <c r="AP132" s="77" t="s">
        <v>3808</v>
      </c>
      <c r="AQ132" s="77" t="s">
        <v>3904</v>
      </c>
      <c r="AR132" s="77">
        <v>6176</v>
      </c>
      <c r="AS132" s="77"/>
      <c r="AT132" s="77"/>
      <c r="AU132" s="77"/>
      <c r="AV132" s="80" t="str">
        <f>HYPERLINK("https://pbs.twimg.com/ext_tw_video_thumb/1640854845761388547/pu/img/GucM8xoLKr5mP7nO.jpg")</f>
        <v>https://pbs.twimg.com/ext_tw_video_thumb/1640854845761388547/pu/img/GucM8xoLKr5mP7nO.jpg</v>
      </c>
      <c r="AW132" s="82" t="s">
        <v>4466</v>
      </c>
      <c r="AX132" s="82" t="s">
        <v>4466</v>
      </c>
      <c r="AY132" s="77"/>
      <c r="AZ132" s="82" t="s">
        <v>5615</v>
      </c>
      <c r="BA132" s="82" t="s">
        <v>5615</v>
      </c>
      <c r="BB132" s="82" t="s">
        <v>5615</v>
      </c>
      <c r="BC132" s="82" t="s">
        <v>4466</v>
      </c>
      <c r="BD132" s="82" t="s">
        <v>5899</v>
      </c>
      <c r="BE132" s="77"/>
      <c r="BF132" s="77"/>
      <c r="BG132" s="77"/>
      <c r="BH132" s="77"/>
      <c r="BI132" s="77"/>
    </row>
    <row r="133" spans="1:61" x14ac:dyDescent="0.25">
      <c r="A133" s="62" t="s">
        <v>288</v>
      </c>
      <c r="B133" s="62" t="s">
        <v>288</v>
      </c>
      <c r="C133" s="63"/>
      <c r="D133" s="64"/>
      <c r="E133" s="65"/>
      <c r="F133" s="66"/>
      <c r="G133" s="63"/>
      <c r="H133" s="67"/>
      <c r="I133" s="68"/>
      <c r="J133" s="68"/>
      <c r="K133" s="32"/>
      <c r="L133" s="75">
        <v>133</v>
      </c>
      <c r="M133" s="75"/>
      <c r="N133" s="70"/>
      <c r="O133" s="77" t="s">
        <v>179</v>
      </c>
      <c r="P133" s="79">
        <v>45013.089247685188</v>
      </c>
      <c r="Q133" s="77" t="s">
        <v>716</v>
      </c>
      <c r="R133" s="77">
        <v>0</v>
      </c>
      <c r="S133" s="77">
        <v>1</v>
      </c>
      <c r="T133" s="77">
        <v>1</v>
      </c>
      <c r="U133" s="77">
        <v>0</v>
      </c>
      <c r="V133" s="77">
        <v>13</v>
      </c>
      <c r="W133" s="82" t="s">
        <v>1637</v>
      </c>
      <c r="X133" s="77"/>
      <c r="Y133" s="77"/>
      <c r="Z133" s="77"/>
      <c r="AA133" s="77" t="s">
        <v>2279</v>
      </c>
      <c r="AB133" s="77" t="s">
        <v>2713</v>
      </c>
      <c r="AC133" s="82" t="s">
        <v>2719</v>
      </c>
      <c r="AD133" s="77" t="s">
        <v>2755</v>
      </c>
      <c r="AE133" s="80" t="str">
        <f>HYPERLINK("https://twitter.com/luiswolftigre/status/1640536314331164672")</f>
        <v>https://twitter.com/luiswolftigre/status/1640536314331164672</v>
      </c>
      <c r="AF133" s="79">
        <v>45013.089247685188</v>
      </c>
      <c r="AG133" s="85">
        <v>45013</v>
      </c>
      <c r="AH133" s="82" t="s">
        <v>2890</v>
      </c>
      <c r="AI133" s="77" t="b">
        <v>0</v>
      </c>
      <c r="AJ133" s="77" t="s">
        <v>3736</v>
      </c>
      <c r="AK133" s="77" t="s">
        <v>3752</v>
      </c>
      <c r="AL133" s="77" t="s">
        <v>3755</v>
      </c>
      <c r="AM133" s="77" t="s">
        <v>3760</v>
      </c>
      <c r="AN133" s="77" t="s">
        <v>3776</v>
      </c>
      <c r="AO133" s="77" t="s">
        <v>3794</v>
      </c>
      <c r="AP133" s="77" t="s">
        <v>3808</v>
      </c>
      <c r="AQ133" s="77" t="s">
        <v>3905</v>
      </c>
      <c r="AR133" s="77">
        <v>15115</v>
      </c>
      <c r="AS133" s="77"/>
      <c r="AT133" s="77"/>
      <c r="AU133" s="77"/>
      <c r="AV133" s="80" t="str">
        <f>HYPERLINK("https://pbs.twimg.com/ext_tw_video_thumb/1640536258446344194/pu/img/i5pXL_MeTIaX-RTq.jpg")</f>
        <v>https://pbs.twimg.com/ext_tw_video_thumb/1640536258446344194/pu/img/i5pXL_MeTIaX-RTq.jpg</v>
      </c>
      <c r="AW133" s="82" t="s">
        <v>4467</v>
      </c>
      <c r="AX133" s="82" t="s">
        <v>4467</v>
      </c>
      <c r="AY133" s="77"/>
      <c r="AZ133" s="82" t="s">
        <v>5615</v>
      </c>
      <c r="BA133" s="82" t="s">
        <v>5615</v>
      </c>
      <c r="BB133" s="82" t="s">
        <v>5615</v>
      </c>
      <c r="BC133" s="82" t="s">
        <v>4467</v>
      </c>
      <c r="BD133" s="82" t="s">
        <v>5899</v>
      </c>
      <c r="BE133" s="77"/>
      <c r="BF133" s="77"/>
      <c r="BG133" s="77"/>
      <c r="BH133" s="77"/>
      <c r="BI133" s="77"/>
    </row>
    <row r="134" spans="1:61" x14ac:dyDescent="0.25">
      <c r="A134" s="62" t="s">
        <v>288</v>
      </c>
      <c r="B134" s="62" t="s">
        <v>288</v>
      </c>
      <c r="C134" s="63"/>
      <c r="D134" s="64"/>
      <c r="E134" s="65"/>
      <c r="F134" s="66"/>
      <c r="G134" s="63"/>
      <c r="H134" s="67"/>
      <c r="I134" s="68"/>
      <c r="J134" s="68"/>
      <c r="K134" s="32"/>
      <c r="L134" s="75">
        <v>134</v>
      </c>
      <c r="M134" s="75"/>
      <c r="N134" s="70"/>
      <c r="O134" s="77" t="s">
        <v>179</v>
      </c>
      <c r="P134" s="79">
        <v>45103.914618055554</v>
      </c>
      <c r="Q134" s="77" t="s">
        <v>717</v>
      </c>
      <c r="R134" s="77">
        <v>0</v>
      </c>
      <c r="S134" s="77">
        <v>0</v>
      </c>
      <c r="T134" s="77">
        <v>0</v>
      </c>
      <c r="U134" s="77">
        <v>0</v>
      </c>
      <c r="V134" s="77">
        <v>16</v>
      </c>
      <c r="W134" s="82" t="s">
        <v>1642</v>
      </c>
      <c r="X134" s="77"/>
      <c r="Y134" s="77"/>
      <c r="Z134" s="77"/>
      <c r="AA134" s="77" t="s">
        <v>2280</v>
      </c>
      <c r="AB134" s="77" t="s">
        <v>2713</v>
      </c>
      <c r="AC134" s="82" t="s">
        <v>2719</v>
      </c>
      <c r="AD134" s="77" t="s">
        <v>2755</v>
      </c>
      <c r="AE134" s="80" t="str">
        <f>HYPERLINK("https://twitter.com/luiswolftigre/status/1673450324802039808")</f>
        <v>https://twitter.com/luiswolftigre/status/1673450324802039808</v>
      </c>
      <c r="AF134" s="79">
        <v>45103.914618055554</v>
      </c>
      <c r="AG134" s="85">
        <v>45103</v>
      </c>
      <c r="AH134" s="82" t="s">
        <v>2891</v>
      </c>
      <c r="AI134" s="77" t="b">
        <v>0</v>
      </c>
      <c r="AJ134" s="77" t="s">
        <v>3736</v>
      </c>
      <c r="AK134" s="77" t="s">
        <v>3752</v>
      </c>
      <c r="AL134" s="77" t="s">
        <v>3755</v>
      </c>
      <c r="AM134" s="77" t="s">
        <v>3760</v>
      </c>
      <c r="AN134" s="77" t="s">
        <v>3776</v>
      </c>
      <c r="AO134" s="77" t="s">
        <v>3794</v>
      </c>
      <c r="AP134" s="77" t="s">
        <v>3808</v>
      </c>
      <c r="AQ134" s="77" t="s">
        <v>3906</v>
      </c>
      <c r="AR134" s="77">
        <v>6100</v>
      </c>
      <c r="AS134" s="77"/>
      <c r="AT134" s="77"/>
      <c r="AU134" s="77"/>
      <c r="AV134" s="80" t="str">
        <f>HYPERLINK("https://pbs.twimg.com/ext_tw_video_thumb/1673450277087608838/pu/img/cVV2z9IgClPWIleP.jpg")</f>
        <v>https://pbs.twimg.com/ext_tw_video_thumb/1673450277087608838/pu/img/cVV2z9IgClPWIleP.jpg</v>
      </c>
      <c r="AW134" s="82" t="s">
        <v>4468</v>
      </c>
      <c r="AX134" s="82" t="s">
        <v>4468</v>
      </c>
      <c r="AY134" s="77"/>
      <c r="AZ134" s="82" t="s">
        <v>5615</v>
      </c>
      <c r="BA134" s="82" t="s">
        <v>5615</v>
      </c>
      <c r="BB134" s="82" t="s">
        <v>5615</v>
      </c>
      <c r="BC134" s="82" t="s">
        <v>4468</v>
      </c>
      <c r="BD134" s="82" t="s">
        <v>5899</v>
      </c>
      <c r="BE134" s="77"/>
      <c r="BF134" s="77"/>
      <c r="BG134" s="77"/>
      <c r="BH134" s="77"/>
      <c r="BI134" s="77"/>
    </row>
    <row r="135" spans="1:61" x14ac:dyDescent="0.25">
      <c r="A135" s="62" t="s">
        <v>288</v>
      </c>
      <c r="B135" s="62" t="s">
        <v>288</v>
      </c>
      <c r="C135" s="63"/>
      <c r="D135" s="64"/>
      <c r="E135" s="65"/>
      <c r="F135" s="66"/>
      <c r="G135" s="63"/>
      <c r="H135" s="67"/>
      <c r="I135" s="68"/>
      <c r="J135" s="68"/>
      <c r="K135" s="32"/>
      <c r="L135" s="75">
        <v>135</v>
      </c>
      <c r="M135" s="75"/>
      <c r="N135" s="70"/>
      <c r="O135" s="77" t="s">
        <v>179</v>
      </c>
      <c r="P135" s="79">
        <v>45102.795752314814</v>
      </c>
      <c r="Q135" s="77" t="s">
        <v>718</v>
      </c>
      <c r="R135" s="77">
        <v>0</v>
      </c>
      <c r="S135" s="77">
        <v>0</v>
      </c>
      <c r="T135" s="77">
        <v>0</v>
      </c>
      <c r="U135" s="77">
        <v>0</v>
      </c>
      <c r="V135" s="77">
        <v>12</v>
      </c>
      <c r="W135" s="82" t="s">
        <v>1642</v>
      </c>
      <c r="X135" s="77"/>
      <c r="Y135" s="77"/>
      <c r="Z135" s="77"/>
      <c r="AA135" s="77" t="s">
        <v>2281</v>
      </c>
      <c r="AB135" s="77" t="s">
        <v>2713</v>
      </c>
      <c r="AC135" s="82" t="s">
        <v>2719</v>
      </c>
      <c r="AD135" s="77" t="s">
        <v>2753</v>
      </c>
      <c r="AE135" s="80" t="str">
        <f>HYPERLINK("https://twitter.com/luiswolftigre/status/1673044861514031106")</f>
        <v>https://twitter.com/luiswolftigre/status/1673044861514031106</v>
      </c>
      <c r="AF135" s="79">
        <v>45102.795752314814</v>
      </c>
      <c r="AG135" s="85">
        <v>45102</v>
      </c>
      <c r="AH135" s="82" t="s">
        <v>2892</v>
      </c>
      <c r="AI135" s="77" t="b">
        <v>0</v>
      </c>
      <c r="AJ135" s="77" t="s">
        <v>3736</v>
      </c>
      <c r="AK135" s="77" t="s">
        <v>3752</v>
      </c>
      <c r="AL135" s="77" t="s">
        <v>3755</v>
      </c>
      <c r="AM135" s="77" t="s">
        <v>3760</v>
      </c>
      <c r="AN135" s="77" t="s">
        <v>3776</v>
      </c>
      <c r="AO135" s="77" t="s">
        <v>3794</v>
      </c>
      <c r="AP135" s="77" t="s">
        <v>3808</v>
      </c>
      <c r="AQ135" s="77" t="s">
        <v>3907</v>
      </c>
      <c r="AR135" s="77">
        <v>14604</v>
      </c>
      <c r="AS135" s="77"/>
      <c r="AT135" s="77"/>
      <c r="AU135" s="77"/>
      <c r="AV135" s="80" t="str">
        <f>HYPERLINK("https://pbs.twimg.com/ext_tw_video_thumb/1673044800696729601/pu/img/ypOfwlJHMkXeakz3.jpg")</f>
        <v>https://pbs.twimg.com/ext_tw_video_thumb/1673044800696729601/pu/img/ypOfwlJHMkXeakz3.jpg</v>
      </c>
      <c r="AW135" s="82" t="s">
        <v>4469</v>
      </c>
      <c r="AX135" s="82" t="s">
        <v>4469</v>
      </c>
      <c r="AY135" s="77"/>
      <c r="AZ135" s="82" t="s">
        <v>5615</v>
      </c>
      <c r="BA135" s="82" t="s">
        <v>5615</v>
      </c>
      <c r="BB135" s="82" t="s">
        <v>5615</v>
      </c>
      <c r="BC135" s="82" t="s">
        <v>4469</v>
      </c>
      <c r="BD135" s="82" t="s">
        <v>5899</v>
      </c>
      <c r="BE135" s="77"/>
      <c r="BF135" s="77"/>
      <c r="BG135" s="77"/>
      <c r="BH135" s="77"/>
      <c r="BI135" s="77"/>
    </row>
    <row r="136" spans="1:61" x14ac:dyDescent="0.25">
      <c r="A136" s="62" t="s">
        <v>288</v>
      </c>
      <c r="B136" s="62" t="s">
        <v>288</v>
      </c>
      <c r="C136" s="63"/>
      <c r="D136" s="64"/>
      <c r="E136" s="65"/>
      <c r="F136" s="66"/>
      <c r="G136" s="63"/>
      <c r="H136" s="67"/>
      <c r="I136" s="68"/>
      <c r="J136" s="68"/>
      <c r="K136" s="32"/>
      <c r="L136" s="75">
        <v>136</v>
      </c>
      <c r="M136" s="75"/>
      <c r="N136" s="70"/>
      <c r="O136" s="77" t="s">
        <v>179</v>
      </c>
      <c r="P136" s="79">
        <v>45075.949490740742</v>
      </c>
      <c r="Q136" s="77" t="s">
        <v>719</v>
      </c>
      <c r="R136" s="77">
        <v>0</v>
      </c>
      <c r="S136" s="77">
        <v>0</v>
      </c>
      <c r="T136" s="77">
        <v>0</v>
      </c>
      <c r="U136" s="77">
        <v>0</v>
      </c>
      <c r="V136" s="77">
        <v>8</v>
      </c>
      <c r="W136" s="82" t="s">
        <v>1637</v>
      </c>
      <c r="X136" s="77"/>
      <c r="Y136" s="77"/>
      <c r="Z136" s="77"/>
      <c r="AA136" s="77" t="s">
        <v>2282</v>
      </c>
      <c r="AB136" s="77" t="s">
        <v>2713</v>
      </c>
      <c r="AC136" s="82" t="s">
        <v>2719</v>
      </c>
      <c r="AD136" s="77" t="s">
        <v>2752</v>
      </c>
      <c r="AE136" s="80" t="str">
        <f>HYPERLINK("https://twitter.com/luiswolftigre/status/1663316101550178307")</f>
        <v>https://twitter.com/luiswolftigre/status/1663316101550178307</v>
      </c>
      <c r="AF136" s="79">
        <v>45075.949490740742</v>
      </c>
      <c r="AG136" s="85">
        <v>45075</v>
      </c>
      <c r="AH136" s="82" t="s">
        <v>2893</v>
      </c>
      <c r="AI136" s="77" t="b">
        <v>0</v>
      </c>
      <c r="AJ136" s="77" t="s">
        <v>3736</v>
      </c>
      <c r="AK136" s="77" t="s">
        <v>3752</v>
      </c>
      <c r="AL136" s="77" t="s">
        <v>3755</v>
      </c>
      <c r="AM136" s="77" t="s">
        <v>3760</v>
      </c>
      <c r="AN136" s="77" t="s">
        <v>3776</v>
      </c>
      <c r="AO136" s="77" t="s">
        <v>3794</v>
      </c>
      <c r="AP136" s="77" t="s">
        <v>3808</v>
      </c>
      <c r="AQ136" s="77" t="s">
        <v>3908</v>
      </c>
      <c r="AR136" s="77">
        <v>9148</v>
      </c>
      <c r="AS136" s="77"/>
      <c r="AT136" s="77"/>
      <c r="AU136" s="77"/>
      <c r="AV136" s="80" t="str">
        <f>HYPERLINK("https://pbs.twimg.com/ext_tw_video_thumb/1663316047913418754/pu/img/lkc3_UhtJYATJZNj.jpg")</f>
        <v>https://pbs.twimg.com/ext_tw_video_thumb/1663316047913418754/pu/img/lkc3_UhtJYATJZNj.jpg</v>
      </c>
      <c r="AW136" s="82" t="s">
        <v>4470</v>
      </c>
      <c r="AX136" s="82" t="s">
        <v>4470</v>
      </c>
      <c r="AY136" s="77"/>
      <c r="AZ136" s="82" t="s">
        <v>5615</v>
      </c>
      <c r="BA136" s="82" t="s">
        <v>5615</v>
      </c>
      <c r="BB136" s="82" t="s">
        <v>5615</v>
      </c>
      <c r="BC136" s="82" t="s">
        <v>4470</v>
      </c>
      <c r="BD136" s="82" t="s">
        <v>5899</v>
      </c>
      <c r="BE136" s="77"/>
      <c r="BF136" s="77"/>
      <c r="BG136" s="77"/>
      <c r="BH136" s="77"/>
      <c r="BI136" s="77"/>
    </row>
    <row r="137" spans="1:61" x14ac:dyDescent="0.25">
      <c r="A137" s="62" t="s">
        <v>288</v>
      </c>
      <c r="B137" s="62" t="s">
        <v>288</v>
      </c>
      <c r="C137" s="63"/>
      <c r="D137" s="64"/>
      <c r="E137" s="65"/>
      <c r="F137" s="66"/>
      <c r="G137" s="63"/>
      <c r="H137" s="67"/>
      <c r="I137" s="68"/>
      <c r="J137" s="68"/>
      <c r="K137" s="32"/>
      <c r="L137" s="75">
        <v>137</v>
      </c>
      <c r="M137" s="75"/>
      <c r="N137" s="70"/>
      <c r="O137" s="77" t="s">
        <v>179</v>
      </c>
      <c r="P137" s="79">
        <v>45074.707326388889</v>
      </c>
      <c r="Q137" s="77" t="s">
        <v>720</v>
      </c>
      <c r="R137" s="77">
        <v>0</v>
      </c>
      <c r="S137" s="77">
        <v>0</v>
      </c>
      <c r="T137" s="77">
        <v>0</v>
      </c>
      <c r="U137" s="77">
        <v>0</v>
      </c>
      <c r="V137" s="77">
        <v>8</v>
      </c>
      <c r="W137" s="82" t="s">
        <v>1637</v>
      </c>
      <c r="X137" s="77"/>
      <c r="Y137" s="77"/>
      <c r="Z137" s="77"/>
      <c r="AA137" s="77" t="s">
        <v>2283</v>
      </c>
      <c r="AB137" s="77" t="s">
        <v>2713</v>
      </c>
      <c r="AC137" s="82" t="s">
        <v>2719</v>
      </c>
      <c r="AD137" s="77" t="s">
        <v>2755</v>
      </c>
      <c r="AE137" s="80" t="str">
        <f>HYPERLINK("https://twitter.com/luiswolftigre/status/1662865958078230533")</f>
        <v>https://twitter.com/luiswolftigre/status/1662865958078230533</v>
      </c>
      <c r="AF137" s="79">
        <v>45074.707326388889</v>
      </c>
      <c r="AG137" s="85">
        <v>45074</v>
      </c>
      <c r="AH137" s="82" t="s">
        <v>2894</v>
      </c>
      <c r="AI137" s="77" t="b">
        <v>0</v>
      </c>
      <c r="AJ137" s="77" t="s">
        <v>3736</v>
      </c>
      <c r="AK137" s="77" t="s">
        <v>3752</v>
      </c>
      <c r="AL137" s="77" t="s">
        <v>3755</v>
      </c>
      <c r="AM137" s="77" t="s">
        <v>3760</v>
      </c>
      <c r="AN137" s="77" t="s">
        <v>3776</v>
      </c>
      <c r="AO137" s="77" t="s">
        <v>3794</v>
      </c>
      <c r="AP137" s="77" t="s">
        <v>3808</v>
      </c>
      <c r="AQ137" s="77" t="s">
        <v>3909</v>
      </c>
      <c r="AR137" s="77">
        <v>10518</v>
      </c>
      <c r="AS137" s="77"/>
      <c r="AT137" s="77"/>
      <c r="AU137" s="77"/>
      <c r="AV137" s="80" t="str">
        <f>HYPERLINK("https://pbs.twimg.com/ext_tw_video_thumb/1662865767187070977/pu/img/KSw7VDS_RdTOr8XW.jpg")</f>
        <v>https://pbs.twimg.com/ext_tw_video_thumb/1662865767187070977/pu/img/KSw7VDS_RdTOr8XW.jpg</v>
      </c>
      <c r="AW137" s="82" t="s">
        <v>4471</v>
      </c>
      <c r="AX137" s="82" t="s">
        <v>4471</v>
      </c>
      <c r="AY137" s="77"/>
      <c r="AZ137" s="82" t="s">
        <v>5615</v>
      </c>
      <c r="BA137" s="82" t="s">
        <v>5615</v>
      </c>
      <c r="BB137" s="82" t="s">
        <v>5615</v>
      </c>
      <c r="BC137" s="82" t="s">
        <v>4471</v>
      </c>
      <c r="BD137" s="82" t="s">
        <v>5899</v>
      </c>
      <c r="BE137" s="77"/>
      <c r="BF137" s="77"/>
      <c r="BG137" s="77"/>
      <c r="BH137" s="77"/>
      <c r="BI137" s="77"/>
    </row>
    <row r="138" spans="1:61" x14ac:dyDescent="0.25">
      <c r="A138" s="62" t="s">
        <v>288</v>
      </c>
      <c r="B138" s="62" t="s">
        <v>288</v>
      </c>
      <c r="C138" s="63"/>
      <c r="D138" s="64"/>
      <c r="E138" s="65"/>
      <c r="F138" s="66"/>
      <c r="G138" s="63"/>
      <c r="H138" s="67"/>
      <c r="I138" s="68"/>
      <c r="J138" s="68"/>
      <c r="K138" s="32"/>
      <c r="L138" s="75">
        <v>138</v>
      </c>
      <c r="M138" s="75"/>
      <c r="N138" s="70"/>
      <c r="O138" s="77" t="s">
        <v>179</v>
      </c>
      <c r="P138" s="79">
        <v>45073.73951388889</v>
      </c>
      <c r="Q138" s="77" t="s">
        <v>721</v>
      </c>
      <c r="R138" s="77">
        <v>0</v>
      </c>
      <c r="S138" s="77">
        <v>0</v>
      </c>
      <c r="T138" s="77">
        <v>0</v>
      </c>
      <c r="U138" s="77">
        <v>0</v>
      </c>
      <c r="V138" s="77">
        <v>5</v>
      </c>
      <c r="W138" s="82" t="s">
        <v>1637</v>
      </c>
      <c r="X138" s="77"/>
      <c r="Y138" s="77"/>
      <c r="Z138" s="77"/>
      <c r="AA138" s="77" t="s">
        <v>2284</v>
      </c>
      <c r="AB138" s="77" t="s">
        <v>2713</v>
      </c>
      <c r="AC138" s="82" t="s">
        <v>2719</v>
      </c>
      <c r="AD138" s="77" t="s">
        <v>2759</v>
      </c>
      <c r="AE138" s="80" t="str">
        <f>HYPERLINK("https://twitter.com/luiswolftigre/status/1662515234068725762")</f>
        <v>https://twitter.com/luiswolftigre/status/1662515234068725762</v>
      </c>
      <c r="AF138" s="79">
        <v>45073.73951388889</v>
      </c>
      <c r="AG138" s="85">
        <v>45073</v>
      </c>
      <c r="AH138" s="82" t="s">
        <v>2895</v>
      </c>
      <c r="AI138" s="77" t="b">
        <v>0</v>
      </c>
      <c r="AJ138" s="77" t="s">
        <v>3736</v>
      </c>
      <c r="AK138" s="77" t="s">
        <v>3752</v>
      </c>
      <c r="AL138" s="77" t="s">
        <v>3755</v>
      </c>
      <c r="AM138" s="77" t="s">
        <v>3760</v>
      </c>
      <c r="AN138" s="77" t="s">
        <v>3776</v>
      </c>
      <c r="AO138" s="77" t="s">
        <v>3794</v>
      </c>
      <c r="AP138" s="77" t="s">
        <v>3808</v>
      </c>
      <c r="AQ138" s="77" t="s">
        <v>3910</v>
      </c>
      <c r="AR138" s="77">
        <v>10216</v>
      </c>
      <c r="AS138" s="77"/>
      <c r="AT138" s="77"/>
      <c r="AU138" s="77"/>
      <c r="AV138" s="80" t="str">
        <f>HYPERLINK("https://pbs.twimg.com/ext_tw_video_thumb/1662515186064842755/pu/img/5Bw8JILmuhicxacQ.jpg")</f>
        <v>https://pbs.twimg.com/ext_tw_video_thumb/1662515186064842755/pu/img/5Bw8JILmuhicxacQ.jpg</v>
      </c>
      <c r="AW138" s="82" t="s">
        <v>4472</v>
      </c>
      <c r="AX138" s="82" t="s">
        <v>4472</v>
      </c>
      <c r="AY138" s="77"/>
      <c r="AZ138" s="82" t="s">
        <v>5615</v>
      </c>
      <c r="BA138" s="82" t="s">
        <v>5615</v>
      </c>
      <c r="BB138" s="82" t="s">
        <v>5615</v>
      </c>
      <c r="BC138" s="82" t="s">
        <v>4472</v>
      </c>
      <c r="BD138" s="82" t="s">
        <v>5899</v>
      </c>
      <c r="BE138" s="77"/>
      <c r="BF138" s="77"/>
      <c r="BG138" s="77"/>
      <c r="BH138" s="77"/>
      <c r="BI138" s="77"/>
    </row>
    <row r="139" spans="1:61" x14ac:dyDescent="0.25">
      <c r="A139" s="62" t="s">
        <v>288</v>
      </c>
      <c r="B139" s="62" t="s">
        <v>288</v>
      </c>
      <c r="C139" s="63"/>
      <c r="D139" s="64"/>
      <c r="E139" s="65"/>
      <c r="F139" s="66"/>
      <c r="G139" s="63"/>
      <c r="H139" s="67"/>
      <c r="I139" s="68"/>
      <c r="J139" s="68"/>
      <c r="K139" s="32"/>
      <c r="L139" s="75">
        <v>139</v>
      </c>
      <c r="M139" s="75"/>
      <c r="N139" s="70"/>
      <c r="O139" s="77" t="s">
        <v>179</v>
      </c>
      <c r="P139" s="79">
        <v>45071.942604166667</v>
      </c>
      <c r="Q139" s="77" t="s">
        <v>722</v>
      </c>
      <c r="R139" s="77">
        <v>0</v>
      </c>
      <c r="S139" s="77">
        <v>0</v>
      </c>
      <c r="T139" s="77">
        <v>0</v>
      </c>
      <c r="U139" s="77">
        <v>0</v>
      </c>
      <c r="V139" s="77">
        <v>5</v>
      </c>
      <c r="W139" s="82" t="s">
        <v>1637</v>
      </c>
      <c r="X139" s="77"/>
      <c r="Y139" s="77"/>
      <c r="Z139" s="77"/>
      <c r="AA139" s="77" t="s">
        <v>2285</v>
      </c>
      <c r="AB139" s="77" t="s">
        <v>2713</v>
      </c>
      <c r="AC139" s="82" t="s">
        <v>2719</v>
      </c>
      <c r="AD139" s="77" t="s">
        <v>2755</v>
      </c>
      <c r="AE139" s="80" t="str">
        <f>HYPERLINK("https://twitter.com/luiswolftigre/status/1661864054686720000")</f>
        <v>https://twitter.com/luiswolftigre/status/1661864054686720000</v>
      </c>
      <c r="AF139" s="79">
        <v>45071.942604166667</v>
      </c>
      <c r="AG139" s="85">
        <v>45071</v>
      </c>
      <c r="AH139" s="82" t="s">
        <v>2896</v>
      </c>
      <c r="AI139" s="77" t="b">
        <v>0</v>
      </c>
      <c r="AJ139" s="77" t="s">
        <v>3736</v>
      </c>
      <c r="AK139" s="77" t="s">
        <v>3752</v>
      </c>
      <c r="AL139" s="77" t="s">
        <v>3755</v>
      </c>
      <c r="AM139" s="77" t="s">
        <v>3760</v>
      </c>
      <c r="AN139" s="77" t="s">
        <v>3776</v>
      </c>
      <c r="AO139" s="77" t="s">
        <v>3794</v>
      </c>
      <c r="AP139" s="77" t="s">
        <v>3808</v>
      </c>
      <c r="AQ139" s="77" t="s">
        <v>3911</v>
      </c>
      <c r="AR139" s="77">
        <v>11075</v>
      </c>
      <c r="AS139" s="77"/>
      <c r="AT139" s="77"/>
      <c r="AU139" s="77"/>
      <c r="AV139" s="80" t="str">
        <f>HYPERLINK("https://pbs.twimg.com/ext_tw_video_thumb/1661864015365132289/pu/img/uaR1JuliYlEefG4k.jpg")</f>
        <v>https://pbs.twimg.com/ext_tw_video_thumb/1661864015365132289/pu/img/uaR1JuliYlEefG4k.jpg</v>
      </c>
      <c r="AW139" s="82" t="s">
        <v>4473</v>
      </c>
      <c r="AX139" s="82" t="s">
        <v>4473</v>
      </c>
      <c r="AY139" s="77"/>
      <c r="AZ139" s="82" t="s">
        <v>5615</v>
      </c>
      <c r="BA139" s="82" t="s">
        <v>5615</v>
      </c>
      <c r="BB139" s="82" t="s">
        <v>5615</v>
      </c>
      <c r="BC139" s="82" t="s">
        <v>4473</v>
      </c>
      <c r="BD139" s="82" t="s">
        <v>5899</v>
      </c>
      <c r="BE139" s="77"/>
      <c r="BF139" s="77"/>
      <c r="BG139" s="77"/>
      <c r="BH139" s="77"/>
      <c r="BI139" s="77"/>
    </row>
    <row r="140" spans="1:61" x14ac:dyDescent="0.25">
      <c r="A140" s="62" t="s">
        <v>288</v>
      </c>
      <c r="B140" s="62" t="s">
        <v>288</v>
      </c>
      <c r="C140" s="63"/>
      <c r="D140" s="64"/>
      <c r="E140" s="65"/>
      <c r="F140" s="66"/>
      <c r="G140" s="63"/>
      <c r="H140" s="67"/>
      <c r="I140" s="68"/>
      <c r="J140" s="68"/>
      <c r="K140" s="32"/>
      <c r="L140" s="75">
        <v>140</v>
      </c>
      <c r="M140" s="75"/>
      <c r="N140" s="70"/>
      <c r="O140" s="77" t="s">
        <v>179</v>
      </c>
      <c r="P140" s="79">
        <v>45070.946539351855</v>
      </c>
      <c r="Q140" s="77" t="s">
        <v>723</v>
      </c>
      <c r="R140" s="77">
        <v>0</v>
      </c>
      <c r="S140" s="77">
        <v>0</v>
      </c>
      <c r="T140" s="77">
        <v>0</v>
      </c>
      <c r="U140" s="77">
        <v>0</v>
      </c>
      <c r="V140" s="77">
        <v>6</v>
      </c>
      <c r="W140" s="82" t="s">
        <v>1637</v>
      </c>
      <c r="X140" s="77"/>
      <c r="Y140" s="77"/>
      <c r="Z140" s="77"/>
      <c r="AA140" s="77" t="s">
        <v>2286</v>
      </c>
      <c r="AB140" s="77" t="s">
        <v>2713</v>
      </c>
      <c r="AC140" s="82" t="s">
        <v>2719</v>
      </c>
      <c r="AD140" s="77" t="s">
        <v>2752</v>
      </c>
      <c r="AE140" s="80" t="str">
        <f>HYPERLINK("https://twitter.com/luiswolftigre/status/1661503092897075201")</f>
        <v>https://twitter.com/luiswolftigre/status/1661503092897075201</v>
      </c>
      <c r="AF140" s="79">
        <v>45070.946539351855</v>
      </c>
      <c r="AG140" s="85">
        <v>45070</v>
      </c>
      <c r="AH140" s="82" t="s">
        <v>2897</v>
      </c>
      <c r="AI140" s="77" t="b">
        <v>0</v>
      </c>
      <c r="AJ140" s="77" t="s">
        <v>3736</v>
      </c>
      <c r="AK140" s="77" t="s">
        <v>3752</v>
      </c>
      <c r="AL140" s="77" t="s">
        <v>3755</v>
      </c>
      <c r="AM140" s="77" t="s">
        <v>3760</v>
      </c>
      <c r="AN140" s="77" t="s">
        <v>3776</v>
      </c>
      <c r="AO140" s="77" t="s">
        <v>3794</v>
      </c>
      <c r="AP140" s="77" t="s">
        <v>3808</v>
      </c>
      <c r="AQ140" s="77" t="s">
        <v>3912</v>
      </c>
      <c r="AR140" s="77">
        <v>11446</v>
      </c>
      <c r="AS140" s="77"/>
      <c r="AT140" s="77"/>
      <c r="AU140" s="77"/>
      <c r="AV140" s="80" t="str">
        <f>HYPERLINK("https://pbs.twimg.com/ext_tw_video_thumb/1661503050119278594/pu/img/A6gzhB4JSVUu6o3t.jpg")</f>
        <v>https://pbs.twimg.com/ext_tw_video_thumb/1661503050119278594/pu/img/A6gzhB4JSVUu6o3t.jpg</v>
      </c>
      <c r="AW140" s="82" t="s">
        <v>4474</v>
      </c>
      <c r="AX140" s="82" t="s">
        <v>4474</v>
      </c>
      <c r="AY140" s="77"/>
      <c r="AZ140" s="82" t="s">
        <v>5615</v>
      </c>
      <c r="BA140" s="82" t="s">
        <v>5615</v>
      </c>
      <c r="BB140" s="82" t="s">
        <v>5615</v>
      </c>
      <c r="BC140" s="82" t="s">
        <v>4474</v>
      </c>
      <c r="BD140" s="82" t="s">
        <v>5899</v>
      </c>
      <c r="BE140" s="77"/>
      <c r="BF140" s="77"/>
      <c r="BG140" s="77"/>
      <c r="BH140" s="77"/>
      <c r="BI140" s="77"/>
    </row>
    <row r="141" spans="1:61" x14ac:dyDescent="0.25">
      <c r="A141" s="62" t="s">
        <v>288</v>
      </c>
      <c r="B141" s="62" t="s">
        <v>288</v>
      </c>
      <c r="C141" s="63"/>
      <c r="D141" s="64"/>
      <c r="E141" s="65"/>
      <c r="F141" s="66"/>
      <c r="G141" s="63"/>
      <c r="H141" s="67"/>
      <c r="I141" s="68"/>
      <c r="J141" s="68"/>
      <c r="K141" s="32"/>
      <c r="L141" s="75">
        <v>141</v>
      </c>
      <c r="M141" s="75"/>
      <c r="N141" s="70"/>
      <c r="O141" s="77" t="s">
        <v>179</v>
      </c>
      <c r="P141" s="79">
        <v>45069.951307870368</v>
      </c>
      <c r="Q141" s="77" t="s">
        <v>724</v>
      </c>
      <c r="R141" s="77">
        <v>0</v>
      </c>
      <c r="S141" s="77">
        <v>1</v>
      </c>
      <c r="T141" s="77">
        <v>0</v>
      </c>
      <c r="U141" s="77">
        <v>0</v>
      </c>
      <c r="V141" s="77">
        <v>9</v>
      </c>
      <c r="W141" s="82" t="s">
        <v>1637</v>
      </c>
      <c r="X141" s="77"/>
      <c r="Y141" s="77"/>
      <c r="Z141" s="77"/>
      <c r="AA141" s="77" t="s">
        <v>2287</v>
      </c>
      <c r="AB141" s="77" t="s">
        <v>2713</v>
      </c>
      <c r="AC141" s="82" t="s">
        <v>2719</v>
      </c>
      <c r="AD141" s="77" t="s">
        <v>2752</v>
      </c>
      <c r="AE141" s="80" t="str">
        <f>HYPERLINK("https://twitter.com/luiswolftigre/status/1661142432753528833")</f>
        <v>https://twitter.com/luiswolftigre/status/1661142432753528833</v>
      </c>
      <c r="AF141" s="79">
        <v>45069.951307870368</v>
      </c>
      <c r="AG141" s="85">
        <v>45069</v>
      </c>
      <c r="AH141" s="82" t="s">
        <v>2898</v>
      </c>
      <c r="AI141" s="77" t="b">
        <v>0</v>
      </c>
      <c r="AJ141" s="77" t="s">
        <v>3736</v>
      </c>
      <c r="AK141" s="77" t="s">
        <v>3752</v>
      </c>
      <c r="AL141" s="77" t="s">
        <v>3755</v>
      </c>
      <c r="AM141" s="77" t="s">
        <v>3760</v>
      </c>
      <c r="AN141" s="77" t="s">
        <v>3776</v>
      </c>
      <c r="AO141" s="77" t="s">
        <v>3794</v>
      </c>
      <c r="AP141" s="77" t="s">
        <v>3808</v>
      </c>
      <c r="AQ141" s="77" t="s">
        <v>3913</v>
      </c>
      <c r="AR141" s="77">
        <v>9821</v>
      </c>
      <c r="AS141" s="77"/>
      <c r="AT141" s="77"/>
      <c r="AU141" s="77"/>
      <c r="AV141" s="80" t="str">
        <f>HYPERLINK("https://pbs.twimg.com/ext_tw_video_thumb/1661142388998373376/pu/img/Qzo65mu6-iqPpwfs.jpg")</f>
        <v>https://pbs.twimg.com/ext_tw_video_thumb/1661142388998373376/pu/img/Qzo65mu6-iqPpwfs.jpg</v>
      </c>
      <c r="AW141" s="82" t="s">
        <v>4475</v>
      </c>
      <c r="AX141" s="82" t="s">
        <v>4475</v>
      </c>
      <c r="AY141" s="77"/>
      <c r="AZ141" s="82" t="s">
        <v>5615</v>
      </c>
      <c r="BA141" s="82" t="s">
        <v>5615</v>
      </c>
      <c r="BB141" s="82" t="s">
        <v>5615</v>
      </c>
      <c r="BC141" s="82" t="s">
        <v>4475</v>
      </c>
      <c r="BD141" s="82" t="s">
        <v>5899</v>
      </c>
      <c r="BE141" s="77"/>
      <c r="BF141" s="77"/>
      <c r="BG141" s="77"/>
      <c r="BH141" s="77"/>
      <c r="BI141" s="77"/>
    </row>
    <row r="142" spans="1:61" x14ac:dyDescent="0.25">
      <c r="A142" s="62" t="s">
        <v>288</v>
      </c>
      <c r="B142" s="62" t="s">
        <v>288</v>
      </c>
      <c r="C142" s="63"/>
      <c r="D142" s="64"/>
      <c r="E142" s="65"/>
      <c r="F142" s="66"/>
      <c r="G142" s="63"/>
      <c r="H142" s="67"/>
      <c r="I142" s="68"/>
      <c r="J142" s="68"/>
      <c r="K142" s="32"/>
      <c r="L142" s="75">
        <v>142</v>
      </c>
      <c r="M142" s="75"/>
      <c r="N142" s="70"/>
      <c r="O142" s="77" t="s">
        <v>179</v>
      </c>
      <c r="P142" s="79">
        <v>45068.923564814817</v>
      </c>
      <c r="Q142" s="77" t="s">
        <v>725</v>
      </c>
      <c r="R142" s="77">
        <v>0</v>
      </c>
      <c r="S142" s="77">
        <v>0</v>
      </c>
      <c r="T142" s="77">
        <v>1</v>
      </c>
      <c r="U142" s="77">
        <v>0</v>
      </c>
      <c r="V142" s="77">
        <v>6</v>
      </c>
      <c r="W142" s="82" t="s">
        <v>1637</v>
      </c>
      <c r="X142" s="77"/>
      <c r="Y142" s="77"/>
      <c r="Z142" s="77"/>
      <c r="AA142" s="77" t="s">
        <v>2288</v>
      </c>
      <c r="AB142" s="77" t="s">
        <v>2713</v>
      </c>
      <c r="AC142" s="82" t="s">
        <v>2719</v>
      </c>
      <c r="AD142" s="77" t="s">
        <v>2755</v>
      </c>
      <c r="AE142" s="80" t="str">
        <f>HYPERLINK("https://twitter.com/luiswolftigre/status/1660769992802025473")</f>
        <v>https://twitter.com/luiswolftigre/status/1660769992802025473</v>
      </c>
      <c r="AF142" s="79">
        <v>45068.923564814817</v>
      </c>
      <c r="AG142" s="85">
        <v>45068</v>
      </c>
      <c r="AH142" s="82" t="s">
        <v>2899</v>
      </c>
      <c r="AI142" s="77" t="b">
        <v>0</v>
      </c>
      <c r="AJ142" s="77" t="s">
        <v>3736</v>
      </c>
      <c r="AK142" s="77" t="s">
        <v>3752</v>
      </c>
      <c r="AL142" s="77" t="s">
        <v>3755</v>
      </c>
      <c r="AM142" s="77" t="s">
        <v>3760</v>
      </c>
      <c r="AN142" s="77" t="s">
        <v>3776</v>
      </c>
      <c r="AO142" s="77" t="s">
        <v>3794</v>
      </c>
      <c r="AP142" s="77" t="s">
        <v>3808</v>
      </c>
      <c r="AQ142" s="77" t="s">
        <v>3914</v>
      </c>
      <c r="AR142" s="77">
        <v>9705</v>
      </c>
      <c r="AS142" s="77"/>
      <c r="AT142" s="77"/>
      <c r="AU142" s="77"/>
      <c r="AV142" s="80" t="str">
        <f>HYPERLINK("https://pbs.twimg.com/ext_tw_video_thumb/1660769953627136001/pu/img/IjBHIlUN7OSy6bSn.jpg")</f>
        <v>https://pbs.twimg.com/ext_tw_video_thumb/1660769953627136001/pu/img/IjBHIlUN7OSy6bSn.jpg</v>
      </c>
      <c r="AW142" s="82" t="s">
        <v>4476</v>
      </c>
      <c r="AX142" s="82" t="s">
        <v>4476</v>
      </c>
      <c r="AY142" s="77"/>
      <c r="AZ142" s="82" t="s">
        <v>5615</v>
      </c>
      <c r="BA142" s="82" t="s">
        <v>5615</v>
      </c>
      <c r="BB142" s="82" t="s">
        <v>5615</v>
      </c>
      <c r="BC142" s="82" t="s">
        <v>4476</v>
      </c>
      <c r="BD142" s="82" t="s">
        <v>5899</v>
      </c>
      <c r="BE142" s="77"/>
      <c r="BF142" s="77"/>
      <c r="BG142" s="77"/>
      <c r="BH142" s="77"/>
      <c r="BI142" s="77"/>
    </row>
    <row r="143" spans="1:61" x14ac:dyDescent="0.25">
      <c r="A143" s="62" t="s">
        <v>288</v>
      </c>
      <c r="B143" s="62" t="s">
        <v>288</v>
      </c>
      <c r="C143" s="63"/>
      <c r="D143" s="64"/>
      <c r="E143" s="65"/>
      <c r="F143" s="66"/>
      <c r="G143" s="63"/>
      <c r="H143" s="67"/>
      <c r="I143" s="68"/>
      <c r="J143" s="68"/>
      <c r="K143" s="32"/>
      <c r="L143" s="75">
        <v>143</v>
      </c>
      <c r="M143" s="75"/>
      <c r="N143" s="70"/>
      <c r="O143" s="77" t="s">
        <v>179</v>
      </c>
      <c r="P143" s="79">
        <v>45047.739884259259</v>
      </c>
      <c r="Q143" s="77" t="s">
        <v>726</v>
      </c>
      <c r="R143" s="77">
        <v>0</v>
      </c>
      <c r="S143" s="77">
        <v>1</v>
      </c>
      <c r="T143" s="77">
        <v>1</v>
      </c>
      <c r="U143" s="77">
        <v>0</v>
      </c>
      <c r="V143" s="77">
        <v>5</v>
      </c>
      <c r="W143" s="82" t="s">
        <v>1637</v>
      </c>
      <c r="X143" s="77"/>
      <c r="Y143" s="77"/>
      <c r="Z143" s="77"/>
      <c r="AA143" s="77" t="s">
        <v>2289</v>
      </c>
      <c r="AB143" s="77" t="s">
        <v>2713</v>
      </c>
      <c r="AC143" s="82" t="s">
        <v>2719</v>
      </c>
      <c r="AD143" s="77" t="s">
        <v>2755</v>
      </c>
      <c r="AE143" s="80" t="str">
        <f>HYPERLINK("https://twitter.com/luiswolftigre/status/1653093282681872413")</f>
        <v>https://twitter.com/luiswolftigre/status/1653093282681872413</v>
      </c>
      <c r="AF143" s="79">
        <v>45047.739884259259</v>
      </c>
      <c r="AG143" s="85">
        <v>45047</v>
      </c>
      <c r="AH143" s="82" t="s">
        <v>2900</v>
      </c>
      <c r="AI143" s="77" t="b">
        <v>0</v>
      </c>
      <c r="AJ143" s="77" t="s">
        <v>3736</v>
      </c>
      <c r="AK143" s="77" t="s">
        <v>3752</v>
      </c>
      <c r="AL143" s="77" t="s">
        <v>3755</v>
      </c>
      <c r="AM143" s="77" t="s">
        <v>3760</v>
      </c>
      <c r="AN143" s="77" t="s">
        <v>3776</v>
      </c>
      <c r="AO143" s="77" t="s">
        <v>3794</v>
      </c>
      <c r="AP143" s="77" t="s">
        <v>3808</v>
      </c>
      <c r="AQ143" s="77" t="s">
        <v>3915</v>
      </c>
      <c r="AR143" s="77">
        <v>11121</v>
      </c>
      <c r="AS143" s="77"/>
      <c r="AT143" s="77"/>
      <c r="AU143" s="77"/>
      <c r="AV143" s="80" t="str">
        <f>HYPERLINK("https://pbs.twimg.com/ext_tw_video_thumb/1653093253695123456/pu/img/aFUDMl5ncMOb6XUE.jpg")</f>
        <v>https://pbs.twimg.com/ext_tw_video_thumb/1653093253695123456/pu/img/aFUDMl5ncMOb6XUE.jpg</v>
      </c>
      <c r="AW143" s="82" t="s">
        <v>4477</v>
      </c>
      <c r="AX143" s="82" t="s">
        <v>4477</v>
      </c>
      <c r="AY143" s="77"/>
      <c r="AZ143" s="82" t="s">
        <v>5615</v>
      </c>
      <c r="BA143" s="82" t="s">
        <v>5615</v>
      </c>
      <c r="BB143" s="82" t="s">
        <v>5615</v>
      </c>
      <c r="BC143" s="82" t="s">
        <v>4477</v>
      </c>
      <c r="BD143" s="82" t="s">
        <v>5899</v>
      </c>
      <c r="BE143" s="77"/>
      <c r="BF143" s="77"/>
      <c r="BG143" s="77"/>
      <c r="BH143" s="77"/>
      <c r="BI143" s="77"/>
    </row>
    <row r="144" spans="1:61" x14ac:dyDescent="0.25">
      <c r="A144" s="62" t="s">
        <v>288</v>
      </c>
      <c r="B144" s="62" t="s">
        <v>288</v>
      </c>
      <c r="C144" s="63"/>
      <c r="D144" s="64"/>
      <c r="E144" s="65"/>
      <c r="F144" s="66"/>
      <c r="G144" s="63"/>
      <c r="H144" s="67"/>
      <c r="I144" s="68"/>
      <c r="J144" s="68"/>
      <c r="K144" s="32"/>
      <c r="L144" s="75">
        <v>144</v>
      </c>
      <c r="M144" s="75"/>
      <c r="N144" s="70"/>
      <c r="O144" s="77" t="s">
        <v>179</v>
      </c>
      <c r="P144" s="79">
        <v>45046.793553240743</v>
      </c>
      <c r="Q144" s="77" t="s">
        <v>727</v>
      </c>
      <c r="R144" s="77">
        <v>0</v>
      </c>
      <c r="S144" s="77">
        <v>1</v>
      </c>
      <c r="T144" s="77">
        <v>1</v>
      </c>
      <c r="U144" s="77">
        <v>0</v>
      </c>
      <c r="V144" s="77">
        <v>7</v>
      </c>
      <c r="W144" s="82" t="s">
        <v>1637</v>
      </c>
      <c r="X144" s="77"/>
      <c r="Y144" s="77"/>
      <c r="Z144" s="77"/>
      <c r="AA144" s="77" t="s">
        <v>2290</v>
      </c>
      <c r="AB144" s="77" t="s">
        <v>2713</v>
      </c>
      <c r="AC144" s="82" t="s">
        <v>2719</v>
      </c>
      <c r="AD144" s="77" t="s">
        <v>2752</v>
      </c>
      <c r="AE144" s="80" t="str">
        <f>HYPERLINK("https://twitter.com/luiswolftigre/status/1652750345271926785")</f>
        <v>https://twitter.com/luiswolftigre/status/1652750345271926785</v>
      </c>
      <c r="AF144" s="79">
        <v>45046.793553240743</v>
      </c>
      <c r="AG144" s="85">
        <v>45046</v>
      </c>
      <c r="AH144" s="82" t="s">
        <v>2901</v>
      </c>
      <c r="AI144" s="77" t="b">
        <v>0</v>
      </c>
      <c r="AJ144" s="77" t="s">
        <v>3736</v>
      </c>
      <c r="AK144" s="77" t="s">
        <v>3752</v>
      </c>
      <c r="AL144" s="77" t="s">
        <v>3755</v>
      </c>
      <c r="AM144" s="77" t="s">
        <v>3760</v>
      </c>
      <c r="AN144" s="77" t="s">
        <v>3776</v>
      </c>
      <c r="AO144" s="77" t="s">
        <v>3794</v>
      </c>
      <c r="AP144" s="77" t="s">
        <v>3808</v>
      </c>
      <c r="AQ144" s="77" t="s">
        <v>3916</v>
      </c>
      <c r="AR144" s="77">
        <v>9612</v>
      </c>
      <c r="AS144" s="77"/>
      <c r="AT144" s="77"/>
      <c r="AU144" s="77"/>
      <c r="AV144" s="80" t="str">
        <f>HYPERLINK("https://pbs.twimg.com/ext_tw_video_thumb/1652750317723738112/pu/img/PRxuUP5QRCwuyKlC.jpg")</f>
        <v>https://pbs.twimg.com/ext_tw_video_thumb/1652750317723738112/pu/img/PRxuUP5QRCwuyKlC.jpg</v>
      </c>
      <c r="AW144" s="82" t="s">
        <v>4478</v>
      </c>
      <c r="AX144" s="82" t="s">
        <v>4478</v>
      </c>
      <c r="AY144" s="77"/>
      <c r="AZ144" s="82" t="s">
        <v>5615</v>
      </c>
      <c r="BA144" s="82" t="s">
        <v>5615</v>
      </c>
      <c r="BB144" s="82" t="s">
        <v>5615</v>
      </c>
      <c r="BC144" s="82" t="s">
        <v>4478</v>
      </c>
      <c r="BD144" s="82" t="s">
        <v>5899</v>
      </c>
      <c r="BE144" s="77"/>
      <c r="BF144" s="77"/>
      <c r="BG144" s="77"/>
      <c r="BH144" s="77"/>
      <c r="BI144" s="77"/>
    </row>
    <row r="145" spans="1:61" x14ac:dyDescent="0.25">
      <c r="A145" s="62" t="s">
        <v>288</v>
      </c>
      <c r="B145" s="62" t="s">
        <v>288</v>
      </c>
      <c r="C145" s="63"/>
      <c r="D145" s="64"/>
      <c r="E145" s="65"/>
      <c r="F145" s="66"/>
      <c r="G145" s="63"/>
      <c r="H145" s="67"/>
      <c r="I145" s="68"/>
      <c r="J145" s="68"/>
      <c r="K145" s="32"/>
      <c r="L145" s="75">
        <v>145</v>
      </c>
      <c r="M145" s="75"/>
      <c r="N145" s="70"/>
      <c r="O145" s="77" t="s">
        <v>179</v>
      </c>
      <c r="P145" s="79">
        <v>45045.8200462963</v>
      </c>
      <c r="Q145" s="77" t="s">
        <v>728</v>
      </c>
      <c r="R145" s="77">
        <v>0</v>
      </c>
      <c r="S145" s="77">
        <v>1</v>
      </c>
      <c r="T145" s="77">
        <v>1</v>
      </c>
      <c r="U145" s="77">
        <v>0</v>
      </c>
      <c r="V145" s="77">
        <v>5</v>
      </c>
      <c r="W145" s="82" t="s">
        <v>1637</v>
      </c>
      <c r="X145" s="77"/>
      <c r="Y145" s="77"/>
      <c r="Z145" s="77"/>
      <c r="AA145" s="77" t="s">
        <v>2291</v>
      </c>
      <c r="AB145" s="77" t="s">
        <v>2713</v>
      </c>
      <c r="AC145" s="82" t="s">
        <v>2719</v>
      </c>
      <c r="AD145" s="77" t="s">
        <v>2752</v>
      </c>
      <c r="AE145" s="80" t="str">
        <f>HYPERLINK("https://twitter.com/luiswolftigre/status/1652397558826774528")</f>
        <v>https://twitter.com/luiswolftigre/status/1652397558826774528</v>
      </c>
      <c r="AF145" s="79">
        <v>45045.8200462963</v>
      </c>
      <c r="AG145" s="85">
        <v>45045</v>
      </c>
      <c r="AH145" s="82" t="s">
        <v>2902</v>
      </c>
      <c r="AI145" s="77" t="b">
        <v>0</v>
      </c>
      <c r="AJ145" s="77" t="s">
        <v>3736</v>
      </c>
      <c r="AK145" s="77" t="s">
        <v>3752</v>
      </c>
      <c r="AL145" s="77" t="s">
        <v>3755</v>
      </c>
      <c r="AM145" s="77" t="s">
        <v>3760</v>
      </c>
      <c r="AN145" s="77" t="s">
        <v>3776</v>
      </c>
      <c r="AO145" s="77" t="s">
        <v>3794</v>
      </c>
      <c r="AP145" s="77" t="s">
        <v>3808</v>
      </c>
      <c r="AQ145" s="77" t="s">
        <v>3917</v>
      </c>
      <c r="AR145" s="77">
        <v>11238</v>
      </c>
      <c r="AS145" s="77"/>
      <c r="AT145" s="77"/>
      <c r="AU145" s="77"/>
      <c r="AV145" s="80" t="str">
        <f>HYPERLINK("https://pbs.twimg.com/ext_tw_video_thumb/1652397527365214208/pu/img/RcpNqjKKed-GoTr0.jpg")</f>
        <v>https://pbs.twimg.com/ext_tw_video_thumb/1652397527365214208/pu/img/RcpNqjKKed-GoTr0.jpg</v>
      </c>
      <c r="AW145" s="82" t="s">
        <v>4479</v>
      </c>
      <c r="AX145" s="82" t="s">
        <v>4479</v>
      </c>
      <c r="AY145" s="77"/>
      <c r="AZ145" s="82" t="s">
        <v>5615</v>
      </c>
      <c r="BA145" s="82" t="s">
        <v>5615</v>
      </c>
      <c r="BB145" s="82" t="s">
        <v>5615</v>
      </c>
      <c r="BC145" s="82" t="s">
        <v>4479</v>
      </c>
      <c r="BD145" s="82" t="s">
        <v>5899</v>
      </c>
      <c r="BE145" s="77"/>
      <c r="BF145" s="77"/>
      <c r="BG145" s="77"/>
      <c r="BH145" s="77"/>
      <c r="BI145" s="77"/>
    </row>
    <row r="146" spans="1:61" x14ac:dyDescent="0.25">
      <c r="A146" s="62" t="s">
        <v>288</v>
      </c>
      <c r="B146" s="62" t="s">
        <v>288</v>
      </c>
      <c r="C146" s="63"/>
      <c r="D146" s="64"/>
      <c r="E146" s="65"/>
      <c r="F146" s="66"/>
      <c r="G146" s="63"/>
      <c r="H146" s="67"/>
      <c r="I146" s="68"/>
      <c r="J146" s="68"/>
      <c r="K146" s="32"/>
      <c r="L146" s="75">
        <v>146</v>
      </c>
      <c r="M146" s="75"/>
      <c r="N146" s="70"/>
      <c r="O146" s="77" t="s">
        <v>179</v>
      </c>
      <c r="P146" s="79">
        <v>45044.962129629632</v>
      </c>
      <c r="Q146" s="77" t="s">
        <v>729</v>
      </c>
      <c r="R146" s="77">
        <v>0</v>
      </c>
      <c r="S146" s="77">
        <v>1</v>
      </c>
      <c r="T146" s="77">
        <v>1</v>
      </c>
      <c r="U146" s="77">
        <v>0</v>
      </c>
      <c r="V146" s="77">
        <v>8</v>
      </c>
      <c r="W146" s="82" t="s">
        <v>1637</v>
      </c>
      <c r="X146" s="77"/>
      <c r="Y146" s="77"/>
      <c r="Z146" s="77"/>
      <c r="AA146" s="77" t="s">
        <v>2292</v>
      </c>
      <c r="AB146" s="77" t="s">
        <v>2713</v>
      </c>
      <c r="AC146" s="82" t="s">
        <v>2719</v>
      </c>
      <c r="AD146" s="77" t="s">
        <v>2752</v>
      </c>
      <c r="AE146" s="80" t="str">
        <f>HYPERLINK("https://twitter.com/luiswolftigre/status/1652086660337659911")</f>
        <v>https://twitter.com/luiswolftigre/status/1652086660337659911</v>
      </c>
      <c r="AF146" s="79">
        <v>45044.962129629632</v>
      </c>
      <c r="AG146" s="85">
        <v>45044</v>
      </c>
      <c r="AH146" s="82" t="s">
        <v>2903</v>
      </c>
      <c r="AI146" s="77" t="b">
        <v>0</v>
      </c>
      <c r="AJ146" s="77" t="s">
        <v>3736</v>
      </c>
      <c r="AK146" s="77" t="s">
        <v>3752</v>
      </c>
      <c r="AL146" s="77" t="s">
        <v>3755</v>
      </c>
      <c r="AM146" s="77" t="s">
        <v>3760</v>
      </c>
      <c r="AN146" s="77" t="s">
        <v>3776</v>
      </c>
      <c r="AO146" s="77" t="s">
        <v>3794</v>
      </c>
      <c r="AP146" s="77" t="s">
        <v>3808</v>
      </c>
      <c r="AQ146" s="77" t="s">
        <v>3918</v>
      </c>
      <c r="AR146" s="77">
        <v>17367</v>
      </c>
      <c r="AS146" s="77"/>
      <c r="AT146" s="77"/>
      <c r="AU146" s="77"/>
      <c r="AV146" s="80" t="str">
        <f>HYPERLINK("https://pbs.twimg.com/ext_tw_video_thumb/1652086615043391494/pu/img/oIf4afEGvd8sxOlx.jpg")</f>
        <v>https://pbs.twimg.com/ext_tw_video_thumb/1652086615043391494/pu/img/oIf4afEGvd8sxOlx.jpg</v>
      </c>
      <c r="AW146" s="82" t="s">
        <v>4480</v>
      </c>
      <c r="AX146" s="82" t="s">
        <v>4480</v>
      </c>
      <c r="AY146" s="77"/>
      <c r="AZ146" s="82" t="s">
        <v>5615</v>
      </c>
      <c r="BA146" s="82" t="s">
        <v>5615</v>
      </c>
      <c r="BB146" s="82" t="s">
        <v>5615</v>
      </c>
      <c r="BC146" s="82" t="s">
        <v>4480</v>
      </c>
      <c r="BD146" s="82" t="s">
        <v>5899</v>
      </c>
      <c r="BE146" s="77"/>
      <c r="BF146" s="77"/>
      <c r="BG146" s="77"/>
      <c r="BH146" s="77"/>
      <c r="BI146" s="77"/>
    </row>
    <row r="147" spans="1:61" x14ac:dyDescent="0.25">
      <c r="A147" s="62" t="s">
        <v>288</v>
      </c>
      <c r="B147" s="62" t="s">
        <v>288</v>
      </c>
      <c r="C147" s="63"/>
      <c r="D147" s="64"/>
      <c r="E147" s="65"/>
      <c r="F147" s="66"/>
      <c r="G147" s="63"/>
      <c r="H147" s="67"/>
      <c r="I147" s="68"/>
      <c r="J147" s="68"/>
      <c r="K147" s="32"/>
      <c r="L147" s="75">
        <v>147</v>
      </c>
      <c r="M147" s="75"/>
      <c r="N147" s="70"/>
      <c r="O147" s="77" t="s">
        <v>179</v>
      </c>
      <c r="P147" s="79">
        <v>45043.96534722222</v>
      </c>
      <c r="Q147" s="77" t="s">
        <v>730</v>
      </c>
      <c r="R147" s="77">
        <v>0</v>
      </c>
      <c r="S147" s="77">
        <v>1</v>
      </c>
      <c r="T147" s="77">
        <v>1</v>
      </c>
      <c r="U147" s="77">
        <v>0</v>
      </c>
      <c r="V147" s="77">
        <v>16</v>
      </c>
      <c r="W147" s="82" t="s">
        <v>1637</v>
      </c>
      <c r="X147" s="77"/>
      <c r="Y147" s="77"/>
      <c r="Z147" s="77"/>
      <c r="AA147" s="77" t="s">
        <v>2293</v>
      </c>
      <c r="AB147" s="77" t="s">
        <v>2713</v>
      </c>
      <c r="AC147" s="82" t="s">
        <v>2719</v>
      </c>
      <c r="AD147" s="77" t="s">
        <v>2752</v>
      </c>
      <c r="AE147" s="80" t="str">
        <f>HYPERLINK("https://twitter.com/luiswolftigre/status/1651725436412461056")</f>
        <v>https://twitter.com/luiswolftigre/status/1651725436412461056</v>
      </c>
      <c r="AF147" s="79">
        <v>45043.96534722222</v>
      </c>
      <c r="AG147" s="85">
        <v>45043</v>
      </c>
      <c r="AH147" s="82" t="s">
        <v>2904</v>
      </c>
      <c r="AI147" s="77" t="b">
        <v>0</v>
      </c>
      <c r="AJ147" s="77" t="s">
        <v>3736</v>
      </c>
      <c r="AK147" s="77" t="s">
        <v>3752</v>
      </c>
      <c r="AL147" s="77" t="s">
        <v>3755</v>
      </c>
      <c r="AM147" s="77" t="s">
        <v>3760</v>
      </c>
      <c r="AN147" s="77" t="s">
        <v>3776</v>
      </c>
      <c r="AO147" s="77" t="s">
        <v>3794</v>
      </c>
      <c r="AP147" s="77" t="s">
        <v>3808</v>
      </c>
      <c r="AQ147" s="77" t="s">
        <v>3919</v>
      </c>
      <c r="AR147" s="77">
        <v>13072</v>
      </c>
      <c r="AS147" s="77"/>
      <c r="AT147" s="77"/>
      <c r="AU147" s="77"/>
      <c r="AV147" s="80" t="str">
        <f>HYPERLINK("https://pbs.twimg.com/ext_tw_video_thumb/1651725385887883268/pu/img/jB8OEI2PtZEO14Rg.jpg")</f>
        <v>https://pbs.twimg.com/ext_tw_video_thumb/1651725385887883268/pu/img/jB8OEI2PtZEO14Rg.jpg</v>
      </c>
      <c r="AW147" s="82" t="s">
        <v>4481</v>
      </c>
      <c r="AX147" s="82" t="s">
        <v>4481</v>
      </c>
      <c r="AY147" s="77"/>
      <c r="AZ147" s="82" t="s">
        <v>5615</v>
      </c>
      <c r="BA147" s="82" t="s">
        <v>5615</v>
      </c>
      <c r="BB147" s="82" t="s">
        <v>5615</v>
      </c>
      <c r="BC147" s="82" t="s">
        <v>4481</v>
      </c>
      <c r="BD147" s="82" t="s">
        <v>5899</v>
      </c>
      <c r="BE147" s="77"/>
      <c r="BF147" s="77"/>
      <c r="BG147" s="77"/>
      <c r="BH147" s="77"/>
      <c r="BI147" s="77"/>
    </row>
    <row r="148" spans="1:61" x14ac:dyDescent="0.25">
      <c r="A148" s="62" t="s">
        <v>288</v>
      </c>
      <c r="B148" s="62" t="s">
        <v>288</v>
      </c>
      <c r="C148" s="63"/>
      <c r="D148" s="64"/>
      <c r="E148" s="65"/>
      <c r="F148" s="66"/>
      <c r="G148" s="63"/>
      <c r="H148" s="67"/>
      <c r="I148" s="68"/>
      <c r="J148" s="68"/>
      <c r="K148" s="32"/>
      <c r="L148" s="75">
        <v>148</v>
      </c>
      <c r="M148" s="75"/>
      <c r="N148" s="70"/>
      <c r="O148" s="77" t="s">
        <v>179</v>
      </c>
      <c r="P148" s="79">
        <v>45042.989618055559</v>
      </c>
      <c r="Q148" s="77" t="s">
        <v>731</v>
      </c>
      <c r="R148" s="77">
        <v>0</v>
      </c>
      <c r="S148" s="77">
        <v>1</v>
      </c>
      <c r="T148" s="77">
        <v>1</v>
      </c>
      <c r="U148" s="77">
        <v>0</v>
      </c>
      <c r="V148" s="77">
        <v>10</v>
      </c>
      <c r="W148" s="82" t="s">
        <v>1637</v>
      </c>
      <c r="X148" s="77"/>
      <c r="Y148" s="77"/>
      <c r="Z148" s="77"/>
      <c r="AA148" s="77" t="s">
        <v>2294</v>
      </c>
      <c r="AB148" s="77" t="s">
        <v>2713</v>
      </c>
      <c r="AC148" s="82" t="s">
        <v>2719</v>
      </c>
      <c r="AD148" s="77" t="s">
        <v>2752</v>
      </c>
      <c r="AE148" s="80" t="str">
        <f>HYPERLINK("https://twitter.com/luiswolftigre/status/1651371843117281283")</f>
        <v>https://twitter.com/luiswolftigre/status/1651371843117281283</v>
      </c>
      <c r="AF148" s="79">
        <v>45042.989618055559</v>
      </c>
      <c r="AG148" s="85">
        <v>45042</v>
      </c>
      <c r="AH148" s="82" t="s">
        <v>2905</v>
      </c>
      <c r="AI148" s="77" t="b">
        <v>0</v>
      </c>
      <c r="AJ148" s="77" t="s">
        <v>3736</v>
      </c>
      <c r="AK148" s="77" t="s">
        <v>3752</v>
      </c>
      <c r="AL148" s="77" t="s">
        <v>3755</v>
      </c>
      <c r="AM148" s="77" t="s">
        <v>3760</v>
      </c>
      <c r="AN148" s="77" t="s">
        <v>3776</v>
      </c>
      <c r="AO148" s="77" t="s">
        <v>3794</v>
      </c>
      <c r="AP148" s="77" t="s">
        <v>3808</v>
      </c>
      <c r="AQ148" s="77" t="s">
        <v>3920</v>
      </c>
      <c r="AR148" s="77">
        <v>11005</v>
      </c>
      <c r="AS148" s="77"/>
      <c r="AT148" s="77"/>
      <c r="AU148" s="77"/>
      <c r="AV148" s="80" t="str">
        <f>HYPERLINK("https://pbs.twimg.com/ext_tw_video_thumb/1651371812570144768/pu/img/Kx_DcVsEGUVm7Y3q.jpg")</f>
        <v>https://pbs.twimg.com/ext_tw_video_thumb/1651371812570144768/pu/img/Kx_DcVsEGUVm7Y3q.jpg</v>
      </c>
      <c r="AW148" s="82" t="s">
        <v>4482</v>
      </c>
      <c r="AX148" s="82" t="s">
        <v>4482</v>
      </c>
      <c r="AY148" s="77"/>
      <c r="AZ148" s="82" t="s">
        <v>5615</v>
      </c>
      <c r="BA148" s="82" t="s">
        <v>5615</v>
      </c>
      <c r="BB148" s="82" t="s">
        <v>5615</v>
      </c>
      <c r="BC148" s="82" t="s">
        <v>4482</v>
      </c>
      <c r="BD148" s="82" t="s">
        <v>5899</v>
      </c>
      <c r="BE148" s="77"/>
      <c r="BF148" s="77"/>
      <c r="BG148" s="77"/>
      <c r="BH148" s="77"/>
      <c r="BI148" s="77"/>
    </row>
    <row r="149" spans="1:61" x14ac:dyDescent="0.25">
      <c r="A149" s="62" t="s">
        <v>288</v>
      </c>
      <c r="B149" s="62" t="s">
        <v>288</v>
      </c>
      <c r="C149" s="63"/>
      <c r="D149" s="64"/>
      <c r="E149" s="65"/>
      <c r="F149" s="66"/>
      <c r="G149" s="63"/>
      <c r="H149" s="67"/>
      <c r="I149" s="68"/>
      <c r="J149" s="68"/>
      <c r="K149" s="32"/>
      <c r="L149" s="75">
        <v>149</v>
      </c>
      <c r="M149" s="75"/>
      <c r="N149" s="70"/>
      <c r="O149" s="77" t="s">
        <v>179</v>
      </c>
      <c r="P149" s="79">
        <v>45042.022372685184</v>
      </c>
      <c r="Q149" s="77" t="s">
        <v>732</v>
      </c>
      <c r="R149" s="77">
        <v>0</v>
      </c>
      <c r="S149" s="77">
        <v>1</v>
      </c>
      <c r="T149" s="77">
        <v>1</v>
      </c>
      <c r="U149" s="77">
        <v>0</v>
      </c>
      <c r="V149" s="77">
        <v>9</v>
      </c>
      <c r="W149" s="82" t="s">
        <v>1637</v>
      </c>
      <c r="X149" s="77"/>
      <c r="Y149" s="77"/>
      <c r="Z149" s="77"/>
      <c r="AA149" s="77" t="s">
        <v>2295</v>
      </c>
      <c r="AB149" s="77" t="s">
        <v>2713</v>
      </c>
      <c r="AC149" s="82" t="s">
        <v>2719</v>
      </c>
      <c r="AD149" s="77" t="s">
        <v>2752</v>
      </c>
      <c r="AE149" s="80" t="str">
        <f>HYPERLINK("https://twitter.com/luiswolftigre/status/1651021328235765763")</f>
        <v>https://twitter.com/luiswolftigre/status/1651021328235765763</v>
      </c>
      <c r="AF149" s="79">
        <v>45042.022372685184</v>
      </c>
      <c r="AG149" s="85">
        <v>45042</v>
      </c>
      <c r="AH149" s="82" t="s">
        <v>2906</v>
      </c>
      <c r="AI149" s="77" t="b">
        <v>0</v>
      </c>
      <c r="AJ149" s="77" t="s">
        <v>3736</v>
      </c>
      <c r="AK149" s="77" t="s">
        <v>3752</v>
      </c>
      <c r="AL149" s="77" t="s">
        <v>3755</v>
      </c>
      <c r="AM149" s="77" t="s">
        <v>3760</v>
      </c>
      <c r="AN149" s="77" t="s">
        <v>3776</v>
      </c>
      <c r="AO149" s="77" t="s">
        <v>3794</v>
      </c>
      <c r="AP149" s="77" t="s">
        <v>3808</v>
      </c>
      <c r="AQ149" s="77" t="s">
        <v>3921</v>
      </c>
      <c r="AR149" s="77">
        <v>10518</v>
      </c>
      <c r="AS149" s="77"/>
      <c r="AT149" s="77"/>
      <c r="AU149" s="77"/>
      <c r="AV149" s="80" t="str">
        <f>HYPERLINK("https://pbs.twimg.com/ext_tw_video_thumb/1651021295096561666/pu/img/9kPeW3OmJ7GHJ7on.jpg")</f>
        <v>https://pbs.twimg.com/ext_tw_video_thumb/1651021295096561666/pu/img/9kPeW3OmJ7GHJ7on.jpg</v>
      </c>
      <c r="AW149" s="82" t="s">
        <v>4483</v>
      </c>
      <c r="AX149" s="82" t="s">
        <v>4483</v>
      </c>
      <c r="AY149" s="77"/>
      <c r="AZ149" s="82" t="s">
        <v>5615</v>
      </c>
      <c r="BA149" s="82" t="s">
        <v>5615</v>
      </c>
      <c r="BB149" s="82" t="s">
        <v>5615</v>
      </c>
      <c r="BC149" s="82" t="s">
        <v>4483</v>
      </c>
      <c r="BD149" s="82" t="s">
        <v>5899</v>
      </c>
      <c r="BE149" s="77"/>
      <c r="BF149" s="77"/>
      <c r="BG149" s="77"/>
      <c r="BH149" s="77"/>
      <c r="BI149" s="77"/>
    </row>
    <row r="150" spans="1:61" x14ac:dyDescent="0.25">
      <c r="A150" s="62" t="s">
        <v>288</v>
      </c>
      <c r="B150" s="62" t="s">
        <v>288</v>
      </c>
      <c r="C150" s="63"/>
      <c r="D150" s="64"/>
      <c r="E150" s="65"/>
      <c r="F150" s="66"/>
      <c r="G150" s="63"/>
      <c r="H150" s="67"/>
      <c r="I150" s="68"/>
      <c r="J150" s="68"/>
      <c r="K150" s="32"/>
      <c r="L150" s="75">
        <v>150</v>
      </c>
      <c r="M150" s="75"/>
      <c r="N150" s="70"/>
      <c r="O150" s="77" t="s">
        <v>179</v>
      </c>
      <c r="P150" s="79">
        <v>45041.066157407404</v>
      </c>
      <c r="Q150" s="77" t="s">
        <v>733</v>
      </c>
      <c r="R150" s="77">
        <v>0</v>
      </c>
      <c r="S150" s="77">
        <v>1</v>
      </c>
      <c r="T150" s="77">
        <v>1</v>
      </c>
      <c r="U150" s="77">
        <v>0</v>
      </c>
      <c r="V150" s="77">
        <v>12</v>
      </c>
      <c r="W150" s="82" t="s">
        <v>1637</v>
      </c>
      <c r="X150" s="77"/>
      <c r="Y150" s="77"/>
      <c r="Z150" s="77"/>
      <c r="AA150" s="77" t="s">
        <v>2296</v>
      </c>
      <c r="AB150" s="77" t="s">
        <v>2713</v>
      </c>
      <c r="AC150" s="82" t="s">
        <v>2719</v>
      </c>
      <c r="AD150" s="77" t="s">
        <v>2752</v>
      </c>
      <c r="AE150" s="80" t="str">
        <f>HYPERLINK("https://twitter.com/luiswolftigre/status/1650674807627759617")</f>
        <v>https://twitter.com/luiswolftigre/status/1650674807627759617</v>
      </c>
      <c r="AF150" s="79">
        <v>45041.066157407404</v>
      </c>
      <c r="AG150" s="85">
        <v>45041</v>
      </c>
      <c r="AH150" s="82" t="s">
        <v>2907</v>
      </c>
      <c r="AI150" s="77" t="b">
        <v>0</v>
      </c>
      <c r="AJ150" s="77" t="s">
        <v>3736</v>
      </c>
      <c r="AK150" s="77" t="s">
        <v>3752</v>
      </c>
      <c r="AL150" s="77" t="s">
        <v>3755</v>
      </c>
      <c r="AM150" s="77" t="s">
        <v>3760</v>
      </c>
      <c r="AN150" s="77" t="s">
        <v>3776</v>
      </c>
      <c r="AO150" s="77" t="s">
        <v>3794</v>
      </c>
      <c r="AP150" s="77" t="s">
        <v>3808</v>
      </c>
      <c r="AQ150" s="77" t="s">
        <v>3922</v>
      </c>
      <c r="AR150" s="77">
        <v>10033</v>
      </c>
      <c r="AS150" s="77"/>
      <c r="AT150" s="77"/>
      <c r="AU150" s="77"/>
      <c r="AV150" s="80" t="str">
        <f>HYPERLINK("https://pbs.twimg.com/ext_tw_video_thumb/1650674779777630208/pu/img/Ww-CPQ1CDs0O2HWf.jpg")</f>
        <v>https://pbs.twimg.com/ext_tw_video_thumb/1650674779777630208/pu/img/Ww-CPQ1CDs0O2HWf.jpg</v>
      </c>
      <c r="AW150" s="82" t="s">
        <v>4484</v>
      </c>
      <c r="AX150" s="82" t="s">
        <v>4484</v>
      </c>
      <c r="AY150" s="77"/>
      <c r="AZ150" s="82" t="s">
        <v>5615</v>
      </c>
      <c r="BA150" s="82" t="s">
        <v>5615</v>
      </c>
      <c r="BB150" s="82" t="s">
        <v>5615</v>
      </c>
      <c r="BC150" s="82" t="s">
        <v>4484</v>
      </c>
      <c r="BD150" s="82" t="s">
        <v>5899</v>
      </c>
      <c r="BE150" s="77"/>
      <c r="BF150" s="77"/>
      <c r="BG150" s="77"/>
      <c r="BH150" s="77"/>
      <c r="BI150" s="77"/>
    </row>
    <row r="151" spans="1:61" x14ac:dyDescent="0.25">
      <c r="A151" s="62" t="s">
        <v>288</v>
      </c>
      <c r="B151" s="62" t="s">
        <v>288</v>
      </c>
      <c r="C151" s="63"/>
      <c r="D151" s="64"/>
      <c r="E151" s="65"/>
      <c r="F151" s="66"/>
      <c r="G151" s="63"/>
      <c r="H151" s="67"/>
      <c r="I151" s="68"/>
      <c r="J151" s="68"/>
      <c r="K151" s="32"/>
      <c r="L151" s="75">
        <v>151</v>
      </c>
      <c r="M151" s="75"/>
      <c r="N151" s="70"/>
      <c r="O151" s="77" t="s">
        <v>179</v>
      </c>
      <c r="P151" s="79">
        <v>45040.773472222223</v>
      </c>
      <c r="Q151" s="77" t="s">
        <v>734</v>
      </c>
      <c r="R151" s="77">
        <v>0</v>
      </c>
      <c r="S151" s="77">
        <v>2</v>
      </c>
      <c r="T151" s="77">
        <v>1</v>
      </c>
      <c r="U151" s="77">
        <v>0</v>
      </c>
      <c r="V151" s="77">
        <v>9</v>
      </c>
      <c r="W151" s="82" t="s">
        <v>1637</v>
      </c>
      <c r="X151" s="77"/>
      <c r="Y151" s="77"/>
      <c r="Z151" s="77"/>
      <c r="AA151" s="77" t="s">
        <v>2297</v>
      </c>
      <c r="AB151" s="77" t="s">
        <v>2713</v>
      </c>
      <c r="AC151" s="82" t="s">
        <v>2719</v>
      </c>
      <c r="AD151" s="77" t="s">
        <v>2755</v>
      </c>
      <c r="AE151" s="80" t="str">
        <f>HYPERLINK("https://twitter.com/luiswolftigre/status/1650568742357590025")</f>
        <v>https://twitter.com/luiswolftigre/status/1650568742357590025</v>
      </c>
      <c r="AF151" s="79">
        <v>45040.773472222223</v>
      </c>
      <c r="AG151" s="85">
        <v>45040</v>
      </c>
      <c r="AH151" s="82" t="s">
        <v>2908</v>
      </c>
      <c r="AI151" s="77" t="b">
        <v>0</v>
      </c>
      <c r="AJ151" s="77" t="s">
        <v>3736</v>
      </c>
      <c r="AK151" s="77" t="s">
        <v>3752</v>
      </c>
      <c r="AL151" s="77" t="s">
        <v>3755</v>
      </c>
      <c r="AM151" s="77" t="s">
        <v>3760</v>
      </c>
      <c r="AN151" s="77" t="s">
        <v>3776</v>
      </c>
      <c r="AO151" s="77" t="s">
        <v>3794</v>
      </c>
      <c r="AP151" s="77" t="s">
        <v>3808</v>
      </c>
      <c r="AQ151" s="77" t="s">
        <v>3923</v>
      </c>
      <c r="AR151" s="77">
        <v>8521</v>
      </c>
      <c r="AS151" s="77"/>
      <c r="AT151" s="77"/>
      <c r="AU151" s="77"/>
      <c r="AV151" s="80" t="str">
        <f>HYPERLINK("https://pbs.twimg.com/ext_tw_video_thumb/1650568695456968704/pu/img/-to-z8jHzb22ONdZ.jpg")</f>
        <v>https://pbs.twimg.com/ext_tw_video_thumb/1650568695456968704/pu/img/-to-z8jHzb22ONdZ.jpg</v>
      </c>
      <c r="AW151" s="82" t="s">
        <v>4485</v>
      </c>
      <c r="AX151" s="82" t="s">
        <v>4485</v>
      </c>
      <c r="AY151" s="77"/>
      <c r="AZ151" s="82" t="s">
        <v>5615</v>
      </c>
      <c r="BA151" s="82" t="s">
        <v>5615</v>
      </c>
      <c r="BB151" s="82" t="s">
        <v>5615</v>
      </c>
      <c r="BC151" s="82" t="s">
        <v>4485</v>
      </c>
      <c r="BD151" s="82" t="s">
        <v>5899</v>
      </c>
      <c r="BE151" s="77"/>
      <c r="BF151" s="77"/>
      <c r="BG151" s="77"/>
      <c r="BH151" s="77"/>
      <c r="BI151" s="77"/>
    </row>
    <row r="152" spans="1:61" x14ac:dyDescent="0.25">
      <c r="A152" s="62" t="s">
        <v>288</v>
      </c>
      <c r="B152" s="62" t="s">
        <v>288</v>
      </c>
      <c r="C152" s="63"/>
      <c r="D152" s="64"/>
      <c r="E152" s="65"/>
      <c r="F152" s="66"/>
      <c r="G152" s="63"/>
      <c r="H152" s="67"/>
      <c r="I152" s="68"/>
      <c r="J152" s="68"/>
      <c r="K152" s="32"/>
      <c r="L152" s="75">
        <v>152</v>
      </c>
      <c r="M152" s="75"/>
      <c r="N152" s="70"/>
      <c r="O152" s="77" t="s">
        <v>179</v>
      </c>
      <c r="P152" s="79">
        <v>45040.06621527778</v>
      </c>
      <c r="Q152" s="77" t="s">
        <v>735</v>
      </c>
      <c r="R152" s="77">
        <v>0</v>
      </c>
      <c r="S152" s="77">
        <v>1</v>
      </c>
      <c r="T152" s="77">
        <v>1</v>
      </c>
      <c r="U152" s="77">
        <v>0</v>
      </c>
      <c r="V152" s="77">
        <v>7</v>
      </c>
      <c r="W152" s="82" t="s">
        <v>1637</v>
      </c>
      <c r="X152" s="77"/>
      <c r="Y152" s="77"/>
      <c r="Z152" s="77"/>
      <c r="AA152" s="77" t="s">
        <v>2298</v>
      </c>
      <c r="AB152" s="77" t="s">
        <v>2713</v>
      </c>
      <c r="AC152" s="82" t="s">
        <v>2719</v>
      </c>
      <c r="AD152" s="77" t="s">
        <v>2752</v>
      </c>
      <c r="AE152" s="80" t="str">
        <f>HYPERLINK("https://twitter.com/luiswolftigre/status/1650312438548516865")</f>
        <v>https://twitter.com/luiswolftigre/status/1650312438548516865</v>
      </c>
      <c r="AF152" s="79">
        <v>45040.06621527778</v>
      </c>
      <c r="AG152" s="85">
        <v>45040</v>
      </c>
      <c r="AH152" s="82" t="s">
        <v>2909</v>
      </c>
      <c r="AI152" s="77" t="b">
        <v>0</v>
      </c>
      <c r="AJ152" s="77" t="s">
        <v>3736</v>
      </c>
      <c r="AK152" s="77" t="s">
        <v>3752</v>
      </c>
      <c r="AL152" s="77" t="s">
        <v>3755</v>
      </c>
      <c r="AM152" s="77" t="s">
        <v>3760</v>
      </c>
      <c r="AN152" s="77" t="s">
        <v>3776</v>
      </c>
      <c r="AO152" s="77" t="s">
        <v>3794</v>
      </c>
      <c r="AP152" s="77" t="s">
        <v>3808</v>
      </c>
      <c r="AQ152" s="77" t="s">
        <v>3924</v>
      </c>
      <c r="AR152" s="77">
        <v>6385</v>
      </c>
      <c r="AS152" s="77"/>
      <c r="AT152" s="77"/>
      <c r="AU152" s="77"/>
      <c r="AV152" s="80" t="str">
        <f>HYPERLINK("https://pbs.twimg.com/ext_tw_video_thumb/1650312407275667457/pu/img/_qgQmYIFDL53t79r.jpg")</f>
        <v>https://pbs.twimg.com/ext_tw_video_thumb/1650312407275667457/pu/img/_qgQmYIFDL53t79r.jpg</v>
      </c>
      <c r="AW152" s="82" t="s">
        <v>4486</v>
      </c>
      <c r="AX152" s="82" t="s">
        <v>4486</v>
      </c>
      <c r="AY152" s="77"/>
      <c r="AZ152" s="82" t="s">
        <v>5615</v>
      </c>
      <c r="BA152" s="82" t="s">
        <v>5615</v>
      </c>
      <c r="BB152" s="82" t="s">
        <v>5615</v>
      </c>
      <c r="BC152" s="82" t="s">
        <v>4486</v>
      </c>
      <c r="BD152" s="82" t="s">
        <v>5899</v>
      </c>
      <c r="BE152" s="77"/>
      <c r="BF152" s="77"/>
      <c r="BG152" s="77"/>
      <c r="BH152" s="77"/>
      <c r="BI152" s="77"/>
    </row>
    <row r="153" spans="1:61" x14ac:dyDescent="0.25">
      <c r="A153" s="62" t="s">
        <v>288</v>
      </c>
      <c r="B153" s="62" t="s">
        <v>288</v>
      </c>
      <c r="C153" s="63"/>
      <c r="D153" s="64"/>
      <c r="E153" s="65"/>
      <c r="F153" s="66"/>
      <c r="G153" s="63"/>
      <c r="H153" s="67"/>
      <c r="I153" s="68"/>
      <c r="J153" s="68"/>
      <c r="K153" s="32"/>
      <c r="L153" s="75">
        <v>153</v>
      </c>
      <c r="M153" s="75"/>
      <c r="N153" s="70"/>
      <c r="O153" s="77" t="s">
        <v>179</v>
      </c>
      <c r="P153" s="79">
        <v>45039.755740740744</v>
      </c>
      <c r="Q153" s="77" t="s">
        <v>736</v>
      </c>
      <c r="R153" s="77">
        <v>0</v>
      </c>
      <c r="S153" s="77">
        <v>1</v>
      </c>
      <c r="T153" s="77">
        <v>1</v>
      </c>
      <c r="U153" s="77">
        <v>0</v>
      </c>
      <c r="V153" s="77">
        <v>7</v>
      </c>
      <c r="W153" s="82" t="s">
        <v>1637</v>
      </c>
      <c r="X153" s="77"/>
      <c r="Y153" s="77"/>
      <c r="Z153" s="77"/>
      <c r="AA153" s="77" t="s">
        <v>2299</v>
      </c>
      <c r="AB153" s="77" t="s">
        <v>2713</v>
      </c>
      <c r="AC153" s="82" t="s">
        <v>2719</v>
      </c>
      <c r="AD153" s="77" t="s">
        <v>2752</v>
      </c>
      <c r="AE153" s="80" t="str">
        <f>HYPERLINK("https://twitter.com/luiswolftigre/status/1650199928612823040")</f>
        <v>https://twitter.com/luiswolftigre/status/1650199928612823040</v>
      </c>
      <c r="AF153" s="79">
        <v>45039.755740740744</v>
      </c>
      <c r="AG153" s="85">
        <v>45039</v>
      </c>
      <c r="AH153" s="82" t="s">
        <v>2910</v>
      </c>
      <c r="AI153" s="77" t="b">
        <v>0</v>
      </c>
      <c r="AJ153" s="77" t="s">
        <v>3736</v>
      </c>
      <c r="AK153" s="77" t="s">
        <v>3752</v>
      </c>
      <c r="AL153" s="77" t="s">
        <v>3755</v>
      </c>
      <c r="AM153" s="77" t="s">
        <v>3760</v>
      </c>
      <c r="AN153" s="77" t="s">
        <v>3776</v>
      </c>
      <c r="AO153" s="77" t="s">
        <v>3794</v>
      </c>
      <c r="AP153" s="77" t="s">
        <v>3808</v>
      </c>
      <c r="AQ153" s="77" t="s">
        <v>3925</v>
      </c>
      <c r="AR153" s="77">
        <v>9101</v>
      </c>
      <c r="AS153" s="77"/>
      <c r="AT153" s="77"/>
      <c r="AU153" s="77"/>
      <c r="AV153" s="80" t="str">
        <f>HYPERLINK("https://pbs.twimg.com/ext_tw_video_thumb/1650199884828401667/pu/img/aTztFbosoT4Xi88a.jpg")</f>
        <v>https://pbs.twimg.com/ext_tw_video_thumb/1650199884828401667/pu/img/aTztFbosoT4Xi88a.jpg</v>
      </c>
      <c r="AW153" s="82" t="s">
        <v>4487</v>
      </c>
      <c r="AX153" s="82" t="s">
        <v>4487</v>
      </c>
      <c r="AY153" s="77"/>
      <c r="AZ153" s="82" t="s">
        <v>5615</v>
      </c>
      <c r="BA153" s="82" t="s">
        <v>5615</v>
      </c>
      <c r="BB153" s="82" t="s">
        <v>5615</v>
      </c>
      <c r="BC153" s="82" t="s">
        <v>4487</v>
      </c>
      <c r="BD153" s="82" t="s">
        <v>5899</v>
      </c>
      <c r="BE153" s="77"/>
      <c r="BF153" s="77"/>
      <c r="BG153" s="77"/>
      <c r="BH153" s="77"/>
      <c r="BI153" s="77"/>
    </row>
    <row r="154" spans="1:61" x14ac:dyDescent="0.25">
      <c r="A154" s="62" t="s">
        <v>288</v>
      </c>
      <c r="B154" s="62" t="s">
        <v>288</v>
      </c>
      <c r="C154" s="63"/>
      <c r="D154" s="64"/>
      <c r="E154" s="65"/>
      <c r="F154" s="66"/>
      <c r="G154" s="63"/>
      <c r="H154" s="67"/>
      <c r="I154" s="68"/>
      <c r="J154" s="68"/>
      <c r="K154" s="32"/>
      <c r="L154" s="75">
        <v>154</v>
      </c>
      <c r="M154" s="75"/>
      <c r="N154" s="70"/>
      <c r="O154" s="77" t="s">
        <v>179</v>
      </c>
      <c r="P154" s="79">
        <v>45012.02847222222</v>
      </c>
      <c r="Q154" s="77" t="s">
        <v>737</v>
      </c>
      <c r="R154" s="77">
        <v>0</v>
      </c>
      <c r="S154" s="77">
        <v>1</v>
      </c>
      <c r="T154" s="77">
        <v>2</v>
      </c>
      <c r="U154" s="77">
        <v>0</v>
      </c>
      <c r="V154" s="77">
        <v>18</v>
      </c>
      <c r="W154" s="82" t="s">
        <v>1637</v>
      </c>
      <c r="X154" s="77"/>
      <c r="Y154" s="77"/>
      <c r="Z154" s="77"/>
      <c r="AA154" s="77" t="s">
        <v>2300</v>
      </c>
      <c r="AB154" s="77" t="s">
        <v>2713</v>
      </c>
      <c r="AC154" s="82" t="s">
        <v>2719</v>
      </c>
      <c r="AD154" s="77" t="s">
        <v>2755</v>
      </c>
      <c r="AE154" s="80" t="str">
        <f>HYPERLINK("https://twitter.com/luiswolftigre/status/1640151900552151040")</f>
        <v>https://twitter.com/luiswolftigre/status/1640151900552151040</v>
      </c>
      <c r="AF154" s="79">
        <v>45012.02847222222</v>
      </c>
      <c r="AG154" s="85">
        <v>45012</v>
      </c>
      <c r="AH154" s="82" t="s">
        <v>2911</v>
      </c>
      <c r="AI154" s="77" t="b">
        <v>0</v>
      </c>
      <c r="AJ154" s="77" t="s">
        <v>3736</v>
      </c>
      <c r="AK154" s="77" t="s">
        <v>3752</v>
      </c>
      <c r="AL154" s="77" t="s">
        <v>3755</v>
      </c>
      <c r="AM154" s="77" t="s">
        <v>3760</v>
      </c>
      <c r="AN154" s="77" t="s">
        <v>3776</v>
      </c>
      <c r="AO154" s="77" t="s">
        <v>3794</v>
      </c>
      <c r="AP154" s="77" t="s">
        <v>3808</v>
      </c>
      <c r="AQ154" s="77" t="s">
        <v>3926</v>
      </c>
      <c r="AR154" s="77">
        <v>12933</v>
      </c>
      <c r="AS154" s="77"/>
      <c r="AT154" s="77"/>
      <c r="AU154" s="77"/>
      <c r="AV154" s="80" t="str">
        <f>HYPERLINK("https://pbs.twimg.com/ext_tw_video_thumb/1640151849054380033/pu/img/vG-Ld8cUfmdSMQee.jpg")</f>
        <v>https://pbs.twimg.com/ext_tw_video_thumb/1640151849054380033/pu/img/vG-Ld8cUfmdSMQee.jpg</v>
      </c>
      <c r="AW154" s="82" t="s">
        <v>4488</v>
      </c>
      <c r="AX154" s="82" t="s">
        <v>4488</v>
      </c>
      <c r="AY154" s="77"/>
      <c r="AZ154" s="82" t="s">
        <v>5615</v>
      </c>
      <c r="BA154" s="82" t="s">
        <v>5615</v>
      </c>
      <c r="BB154" s="82" t="s">
        <v>5615</v>
      </c>
      <c r="BC154" s="82" t="s">
        <v>4488</v>
      </c>
      <c r="BD154" s="82" t="s">
        <v>5899</v>
      </c>
      <c r="BE154" s="77"/>
      <c r="BF154" s="77"/>
      <c r="BG154" s="77"/>
      <c r="BH154" s="77"/>
      <c r="BI154" s="77"/>
    </row>
    <row r="155" spans="1:61" x14ac:dyDescent="0.25">
      <c r="A155" s="62" t="s">
        <v>288</v>
      </c>
      <c r="B155" s="62" t="s">
        <v>288</v>
      </c>
      <c r="C155" s="63"/>
      <c r="D155" s="64"/>
      <c r="E155" s="65"/>
      <c r="F155" s="66"/>
      <c r="G155" s="63"/>
      <c r="H155" s="67"/>
      <c r="I155" s="68"/>
      <c r="J155" s="68"/>
      <c r="K155" s="32"/>
      <c r="L155" s="75">
        <v>155</v>
      </c>
      <c r="M155" s="75"/>
      <c r="N155" s="70"/>
      <c r="O155" s="77" t="s">
        <v>179</v>
      </c>
      <c r="P155" s="79">
        <v>45011.695775462962</v>
      </c>
      <c r="Q155" s="77" t="s">
        <v>738</v>
      </c>
      <c r="R155" s="77">
        <v>0</v>
      </c>
      <c r="S155" s="77">
        <v>1</v>
      </c>
      <c r="T155" s="77">
        <v>2</v>
      </c>
      <c r="U155" s="77">
        <v>0</v>
      </c>
      <c r="V155" s="77">
        <v>28</v>
      </c>
      <c r="W155" s="82" t="s">
        <v>1637</v>
      </c>
      <c r="X155" s="77"/>
      <c r="Y155" s="77"/>
      <c r="Z155" s="77"/>
      <c r="AA155" s="77" t="s">
        <v>2301</v>
      </c>
      <c r="AB155" s="77" t="s">
        <v>2713</v>
      </c>
      <c r="AC155" s="82" t="s">
        <v>2719</v>
      </c>
      <c r="AD155" s="77" t="s">
        <v>2752</v>
      </c>
      <c r="AE155" s="80" t="str">
        <f>HYPERLINK("https://twitter.com/luiswolftigre/status/1640031336797708293")</f>
        <v>https://twitter.com/luiswolftigre/status/1640031336797708293</v>
      </c>
      <c r="AF155" s="79">
        <v>45011.695775462962</v>
      </c>
      <c r="AG155" s="85">
        <v>45011</v>
      </c>
      <c r="AH155" s="82" t="s">
        <v>2912</v>
      </c>
      <c r="AI155" s="77" t="b">
        <v>0</v>
      </c>
      <c r="AJ155" s="77" t="s">
        <v>3736</v>
      </c>
      <c r="AK155" s="77" t="s">
        <v>3752</v>
      </c>
      <c r="AL155" s="77" t="s">
        <v>3755</v>
      </c>
      <c r="AM155" s="77" t="s">
        <v>3760</v>
      </c>
      <c r="AN155" s="77" t="s">
        <v>3776</v>
      </c>
      <c r="AO155" s="77" t="s">
        <v>3794</v>
      </c>
      <c r="AP155" s="77" t="s">
        <v>3808</v>
      </c>
      <c r="AQ155" s="77" t="s">
        <v>3927</v>
      </c>
      <c r="AR155" s="77">
        <v>11121</v>
      </c>
      <c r="AS155" s="77"/>
      <c r="AT155" s="77"/>
      <c r="AU155" s="77"/>
      <c r="AV155" s="80" t="str">
        <f>HYPERLINK("https://pbs.twimg.com/ext_tw_video_thumb/1640031299103608832/pu/img/WspioKA_FuavtKds.jpg")</f>
        <v>https://pbs.twimg.com/ext_tw_video_thumb/1640031299103608832/pu/img/WspioKA_FuavtKds.jpg</v>
      </c>
      <c r="AW155" s="82" t="s">
        <v>4489</v>
      </c>
      <c r="AX155" s="82" t="s">
        <v>4489</v>
      </c>
      <c r="AY155" s="77"/>
      <c r="AZ155" s="82" t="s">
        <v>5615</v>
      </c>
      <c r="BA155" s="82" t="s">
        <v>5615</v>
      </c>
      <c r="BB155" s="82" t="s">
        <v>5615</v>
      </c>
      <c r="BC155" s="82" t="s">
        <v>4489</v>
      </c>
      <c r="BD155" s="82" t="s">
        <v>5899</v>
      </c>
      <c r="BE155" s="77"/>
      <c r="BF155" s="77"/>
      <c r="BG155" s="77"/>
      <c r="BH155" s="77"/>
      <c r="BI155" s="77"/>
    </row>
    <row r="156" spans="1:61" x14ac:dyDescent="0.25">
      <c r="A156" s="62" t="s">
        <v>288</v>
      </c>
      <c r="B156" s="62" t="s">
        <v>288</v>
      </c>
      <c r="C156" s="63"/>
      <c r="D156" s="64"/>
      <c r="E156" s="65"/>
      <c r="F156" s="66"/>
      <c r="G156" s="63"/>
      <c r="H156" s="67"/>
      <c r="I156" s="68"/>
      <c r="J156" s="68"/>
      <c r="K156" s="32"/>
      <c r="L156" s="75">
        <v>156</v>
      </c>
      <c r="M156" s="75"/>
      <c r="N156" s="70"/>
      <c r="O156" s="77" t="s">
        <v>179</v>
      </c>
      <c r="P156" s="79">
        <v>45011.036087962966</v>
      </c>
      <c r="Q156" s="77" t="s">
        <v>739</v>
      </c>
      <c r="R156" s="77">
        <v>0</v>
      </c>
      <c r="S156" s="77">
        <v>1</v>
      </c>
      <c r="T156" s="77">
        <v>2</v>
      </c>
      <c r="U156" s="77">
        <v>0</v>
      </c>
      <c r="V156" s="77">
        <v>20</v>
      </c>
      <c r="W156" s="82" t="s">
        <v>1643</v>
      </c>
      <c r="X156" s="77"/>
      <c r="Y156" s="77"/>
      <c r="Z156" s="77"/>
      <c r="AA156" s="77" t="s">
        <v>2302</v>
      </c>
      <c r="AB156" s="77" t="s">
        <v>2713</v>
      </c>
      <c r="AC156" s="82" t="s">
        <v>2719</v>
      </c>
      <c r="AD156" s="77" t="s">
        <v>2752</v>
      </c>
      <c r="AE156" s="80" t="str">
        <f>HYPERLINK("https://twitter.com/luiswolftigre/status/1639792272584630274")</f>
        <v>https://twitter.com/luiswolftigre/status/1639792272584630274</v>
      </c>
      <c r="AF156" s="79">
        <v>45011.036087962966</v>
      </c>
      <c r="AG156" s="85">
        <v>45011</v>
      </c>
      <c r="AH156" s="82" t="s">
        <v>2913</v>
      </c>
      <c r="AI156" s="77" t="b">
        <v>0</v>
      </c>
      <c r="AJ156" s="77" t="s">
        <v>3736</v>
      </c>
      <c r="AK156" s="77" t="s">
        <v>3752</v>
      </c>
      <c r="AL156" s="77" t="s">
        <v>3755</v>
      </c>
      <c r="AM156" s="77" t="s">
        <v>3760</v>
      </c>
      <c r="AN156" s="77" t="s">
        <v>3776</v>
      </c>
      <c r="AO156" s="77" t="s">
        <v>3794</v>
      </c>
      <c r="AP156" s="77" t="s">
        <v>3808</v>
      </c>
      <c r="AQ156" s="77" t="s">
        <v>3928</v>
      </c>
      <c r="AR156" s="77">
        <v>10982</v>
      </c>
      <c r="AS156" s="77"/>
      <c r="AT156" s="77"/>
      <c r="AU156" s="77"/>
      <c r="AV156" s="80" t="str">
        <f>HYPERLINK("https://pbs.twimg.com/ext_tw_video_thumb/1639792204511158272/pu/img/ZVZ9LVBFK5LBR3MB.jpg")</f>
        <v>https://pbs.twimg.com/ext_tw_video_thumb/1639792204511158272/pu/img/ZVZ9LVBFK5LBR3MB.jpg</v>
      </c>
      <c r="AW156" s="82" t="s">
        <v>4490</v>
      </c>
      <c r="AX156" s="82" t="s">
        <v>4490</v>
      </c>
      <c r="AY156" s="77"/>
      <c r="AZ156" s="82" t="s">
        <v>5615</v>
      </c>
      <c r="BA156" s="82" t="s">
        <v>5615</v>
      </c>
      <c r="BB156" s="82" t="s">
        <v>5615</v>
      </c>
      <c r="BC156" s="82" t="s">
        <v>4490</v>
      </c>
      <c r="BD156" s="82" t="s">
        <v>5899</v>
      </c>
      <c r="BE156" s="77"/>
      <c r="BF156" s="77"/>
      <c r="BG156" s="77"/>
      <c r="BH156" s="77"/>
      <c r="BI156" s="77"/>
    </row>
    <row r="157" spans="1:61" x14ac:dyDescent="0.25">
      <c r="A157" s="62" t="s">
        <v>288</v>
      </c>
      <c r="B157" s="62" t="s">
        <v>288</v>
      </c>
      <c r="C157" s="63"/>
      <c r="D157" s="64"/>
      <c r="E157" s="65"/>
      <c r="F157" s="66"/>
      <c r="G157" s="63"/>
      <c r="H157" s="67"/>
      <c r="I157" s="68"/>
      <c r="J157" s="68"/>
      <c r="K157" s="32"/>
      <c r="L157" s="75">
        <v>157</v>
      </c>
      <c r="M157" s="75"/>
      <c r="N157" s="70"/>
      <c r="O157" s="77" t="s">
        <v>179</v>
      </c>
      <c r="P157" s="79">
        <v>45010.775972222225</v>
      </c>
      <c r="Q157" s="77" t="s">
        <v>740</v>
      </c>
      <c r="R157" s="77">
        <v>0</v>
      </c>
      <c r="S157" s="77">
        <v>1</v>
      </c>
      <c r="T157" s="77">
        <v>0</v>
      </c>
      <c r="U157" s="77">
        <v>0</v>
      </c>
      <c r="V157" s="77">
        <v>25</v>
      </c>
      <c r="W157" s="82" t="s">
        <v>1637</v>
      </c>
      <c r="X157" s="77"/>
      <c r="Y157" s="77"/>
      <c r="Z157" s="77"/>
      <c r="AA157" s="77" t="s">
        <v>2303</v>
      </c>
      <c r="AB157" s="77" t="s">
        <v>2713</v>
      </c>
      <c r="AC157" s="82" t="s">
        <v>2719</v>
      </c>
      <c r="AD157" s="77" t="s">
        <v>2752</v>
      </c>
      <c r="AE157" s="80" t="str">
        <f>HYPERLINK("https://twitter.com/luiswolftigre/status/1639698011801415680")</f>
        <v>https://twitter.com/luiswolftigre/status/1639698011801415680</v>
      </c>
      <c r="AF157" s="79">
        <v>45010.775972222225</v>
      </c>
      <c r="AG157" s="85">
        <v>45010</v>
      </c>
      <c r="AH157" s="82" t="s">
        <v>2914</v>
      </c>
      <c r="AI157" s="77" t="b">
        <v>0</v>
      </c>
      <c r="AJ157" s="77" t="s">
        <v>3736</v>
      </c>
      <c r="AK157" s="77" t="s">
        <v>3752</v>
      </c>
      <c r="AL157" s="77" t="s">
        <v>3755</v>
      </c>
      <c r="AM157" s="77" t="s">
        <v>3760</v>
      </c>
      <c r="AN157" s="77" t="s">
        <v>3776</v>
      </c>
      <c r="AO157" s="77" t="s">
        <v>3794</v>
      </c>
      <c r="AP157" s="77" t="s">
        <v>3808</v>
      </c>
      <c r="AQ157" s="77" t="s">
        <v>3929</v>
      </c>
      <c r="AR157" s="77">
        <v>11238</v>
      </c>
      <c r="AS157" s="77"/>
      <c r="AT157" s="77"/>
      <c r="AU157" s="77"/>
      <c r="AV157" s="80" t="str">
        <f>HYPERLINK("https://pbs.twimg.com/ext_tw_video_thumb/1639697975189315584/pu/img/ZB7a6yNQZsW87EZp.jpg")</f>
        <v>https://pbs.twimg.com/ext_tw_video_thumb/1639697975189315584/pu/img/ZB7a6yNQZsW87EZp.jpg</v>
      </c>
      <c r="AW157" s="82" t="s">
        <v>4491</v>
      </c>
      <c r="AX157" s="82" t="s">
        <v>4491</v>
      </c>
      <c r="AY157" s="77"/>
      <c r="AZ157" s="82" t="s">
        <v>5615</v>
      </c>
      <c r="BA157" s="82" t="s">
        <v>5615</v>
      </c>
      <c r="BB157" s="82" t="s">
        <v>5615</v>
      </c>
      <c r="BC157" s="82" t="s">
        <v>4491</v>
      </c>
      <c r="BD157" s="82" t="s">
        <v>5899</v>
      </c>
      <c r="BE157" s="77"/>
      <c r="BF157" s="77"/>
      <c r="BG157" s="77"/>
      <c r="BH157" s="77"/>
      <c r="BI157" s="77"/>
    </row>
    <row r="158" spans="1:61" x14ac:dyDescent="0.25">
      <c r="A158" s="62" t="s">
        <v>288</v>
      </c>
      <c r="B158" s="62" t="s">
        <v>288</v>
      </c>
      <c r="C158" s="63"/>
      <c r="D158" s="64"/>
      <c r="E158" s="65"/>
      <c r="F158" s="66"/>
      <c r="G158" s="63"/>
      <c r="H158" s="67"/>
      <c r="I158" s="68"/>
      <c r="J158" s="68"/>
      <c r="K158" s="32"/>
      <c r="L158" s="75">
        <v>158</v>
      </c>
      <c r="M158" s="75"/>
      <c r="N158" s="70"/>
      <c r="O158" s="77" t="s">
        <v>179</v>
      </c>
      <c r="P158" s="79">
        <v>45009.978865740741</v>
      </c>
      <c r="Q158" s="77" t="s">
        <v>741</v>
      </c>
      <c r="R158" s="77">
        <v>0</v>
      </c>
      <c r="S158" s="77">
        <v>1</v>
      </c>
      <c r="T158" s="77">
        <v>1</v>
      </c>
      <c r="U158" s="77">
        <v>0</v>
      </c>
      <c r="V158" s="77">
        <v>26</v>
      </c>
      <c r="W158" s="82" t="s">
        <v>1637</v>
      </c>
      <c r="X158" s="77"/>
      <c r="Y158" s="77"/>
      <c r="Z158" s="77"/>
      <c r="AA158" s="77" t="s">
        <v>2304</v>
      </c>
      <c r="AB158" s="77" t="s">
        <v>2713</v>
      </c>
      <c r="AC158" s="82" t="s">
        <v>2719</v>
      </c>
      <c r="AD158" s="77" t="s">
        <v>2752</v>
      </c>
      <c r="AE158" s="80" t="str">
        <f>HYPERLINK("https://twitter.com/luiswolftigre/status/1639409150772772864")</f>
        <v>https://twitter.com/luiswolftigre/status/1639409150772772864</v>
      </c>
      <c r="AF158" s="79">
        <v>45009.978865740741</v>
      </c>
      <c r="AG158" s="85">
        <v>45009</v>
      </c>
      <c r="AH158" s="82" t="s">
        <v>2915</v>
      </c>
      <c r="AI158" s="77" t="b">
        <v>0</v>
      </c>
      <c r="AJ158" s="77" t="s">
        <v>3736</v>
      </c>
      <c r="AK158" s="77" t="s">
        <v>3752</v>
      </c>
      <c r="AL158" s="77" t="s">
        <v>3755</v>
      </c>
      <c r="AM158" s="77" t="s">
        <v>3760</v>
      </c>
      <c r="AN158" s="77" t="s">
        <v>3776</v>
      </c>
      <c r="AO158" s="77" t="s">
        <v>3794</v>
      </c>
      <c r="AP158" s="77" t="s">
        <v>3808</v>
      </c>
      <c r="AQ158" s="77" t="s">
        <v>3930</v>
      </c>
      <c r="AR158" s="77">
        <v>10077</v>
      </c>
      <c r="AS158" s="77"/>
      <c r="AT158" s="77"/>
      <c r="AU158" s="77"/>
      <c r="AV158" s="80" t="str">
        <f>HYPERLINK("https://pbs.twimg.com/ext_tw_video_thumb/1639409113925918722/pu/img/ua1AeNd0v6XBZMux.jpg")</f>
        <v>https://pbs.twimg.com/ext_tw_video_thumb/1639409113925918722/pu/img/ua1AeNd0v6XBZMux.jpg</v>
      </c>
      <c r="AW158" s="82" t="s">
        <v>4492</v>
      </c>
      <c r="AX158" s="82" t="s">
        <v>4492</v>
      </c>
      <c r="AY158" s="77"/>
      <c r="AZ158" s="82" t="s">
        <v>5615</v>
      </c>
      <c r="BA158" s="82" t="s">
        <v>5615</v>
      </c>
      <c r="BB158" s="82" t="s">
        <v>5615</v>
      </c>
      <c r="BC158" s="82" t="s">
        <v>4492</v>
      </c>
      <c r="BD158" s="82" t="s">
        <v>5899</v>
      </c>
      <c r="BE158" s="77"/>
      <c r="BF158" s="77"/>
      <c r="BG158" s="77"/>
      <c r="BH158" s="77"/>
      <c r="BI158" s="77"/>
    </row>
    <row r="159" spans="1:61" x14ac:dyDescent="0.25">
      <c r="A159" s="62" t="s">
        <v>288</v>
      </c>
      <c r="B159" s="62" t="s">
        <v>288</v>
      </c>
      <c r="C159" s="63"/>
      <c r="D159" s="64"/>
      <c r="E159" s="65"/>
      <c r="F159" s="66"/>
      <c r="G159" s="63"/>
      <c r="H159" s="67"/>
      <c r="I159" s="68"/>
      <c r="J159" s="68"/>
      <c r="K159" s="32"/>
      <c r="L159" s="75">
        <v>159</v>
      </c>
      <c r="M159" s="75"/>
      <c r="N159" s="70"/>
      <c r="O159" s="77" t="s">
        <v>179</v>
      </c>
      <c r="P159" s="79">
        <v>45009.087534722225</v>
      </c>
      <c r="Q159" s="77" t="s">
        <v>742</v>
      </c>
      <c r="R159" s="77">
        <v>0</v>
      </c>
      <c r="S159" s="77">
        <v>1</v>
      </c>
      <c r="T159" s="77">
        <v>1</v>
      </c>
      <c r="U159" s="77">
        <v>0</v>
      </c>
      <c r="V159" s="77">
        <v>22</v>
      </c>
      <c r="W159" s="82" t="s">
        <v>1644</v>
      </c>
      <c r="X159" s="77"/>
      <c r="Y159" s="77"/>
      <c r="Z159" s="77"/>
      <c r="AA159" s="77" t="s">
        <v>2305</v>
      </c>
      <c r="AB159" s="77" t="s">
        <v>2713</v>
      </c>
      <c r="AC159" s="82" t="s">
        <v>2719</v>
      </c>
      <c r="AD159" s="77" t="s">
        <v>2752</v>
      </c>
      <c r="AE159" s="80" t="str">
        <f>HYPERLINK("https://twitter.com/luiswolftigre/status/1639086143269638144")</f>
        <v>https://twitter.com/luiswolftigre/status/1639086143269638144</v>
      </c>
      <c r="AF159" s="79">
        <v>45009.087534722225</v>
      </c>
      <c r="AG159" s="85">
        <v>45009</v>
      </c>
      <c r="AH159" s="82" t="s">
        <v>2916</v>
      </c>
      <c r="AI159" s="77" t="b">
        <v>0</v>
      </c>
      <c r="AJ159" s="77" t="s">
        <v>3736</v>
      </c>
      <c r="AK159" s="77" t="s">
        <v>3752</v>
      </c>
      <c r="AL159" s="77" t="s">
        <v>3755</v>
      </c>
      <c r="AM159" s="77" t="s">
        <v>3760</v>
      </c>
      <c r="AN159" s="77" t="s">
        <v>3776</v>
      </c>
      <c r="AO159" s="77" t="s">
        <v>3794</v>
      </c>
      <c r="AP159" s="77" t="s">
        <v>3808</v>
      </c>
      <c r="AQ159" s="77" t="s">
        <v>3931</v>
      </c>
      <c r="AR159" s="77">
        <v>13606</v>
      </c>
      <c r="AS159" s="77"/>
      <c r="AT159" s="77"/>
      <c r="AU159" s="77"/>
      <c r="AV159" s="80" t="str">
        <f>HYPERLINK("https://pbs.twimg.com/ext_tw_video_thumb/1639086099992592384/pu/img/WquCv2R4TdYi0QXw.jpg")</f>
        <v>https://pbs.twimg.com/ext_tw_video_thumb/1639086099992592384/pu/img/WquCv2R4TdYi0QXw.jpg</v>
      </c>
      <c r="AW159" s="82" t="s">
        <v>4493</v>
      </c>
      <c r="AX159" s="82" t="s">
        <v>4493</v>
      </c>
      <c r="AY159" s="77"/>
      <c r="AZ159" s="82" t="s">
        <v>5615</v>
      </c>
      <c r="BA159" s="82" t="s">
        <v>5615</v>
      </c>
      <c r="BB159" s="82" t="s">
        <v>5615</v>
      </c>
      <c r="BC159" s="82" t="s">
        <v>4493</v>
      </c>
      <c r="BD159" s="82" t="s">
        <v>5899</v>
      </c>
      <c r="BE159" s="77"/>
      <c r="BF159" s="77"/>
      <c r="BG159" s="77"/>
      <c r="BH159" s="77"/>
      <c r="BI159" s="77"/>
    </row>
    <row r="160" spans="1:61" x14ac:dyDescent="0.25">
      <c r="A160" s="62" t="s">
        <v>288</v>
      </c>
      <c r="B160" s="62" t="s">
        <v>288</v>
      </c>
      <c r="C160" s="63"/>
      <c r="D160" s="64"/>
      <c r="E160" s="65"/>
      <c r="F160" s="66"/>
      <c r="G160" s="63"/>
      <c r="H160" s="67"/>
      <c r="I160" s="68"/>
      <c r="J160" s="68"/>
      <c r="K160" s="32"/>
      <c r="L160" s="75">
        <v>160</v>
      </c>
      <c r="M160" s="75"/>
      <c r="N160" s="70"/>
      <c r="O160" s="77" t="s">
        <v>179</v>
      </c>
      <c r="P160" s="79">
        <v>45008.943136574075</v>
      </c>
      <c r="Q160" s="77" t="s">
        <v>743</v>
      </c>
      <c r="R160" s="77">
        <v>0</v>
      </c>
      <c r="S160" s="77">
        <v>1</v>
      </c>
      <c r="T160" s="77">
        <v>1</v>
      </c>
      <c r="U160" s="77">
        <v>0</v>
      </c>
      <c r="V160" s="77">
        <v>21</v>
      </c>
      <c r="W160" s="82" t="s">
        <v>1644</v>
      </c>
      <c r="X160" s="77"/>
      <c r="Y160" s="77"/>
      <c r="Z160" s="77"/>
      <c r="AA160" s="77" t="s">
        <v>2306</v>
      </c>
      <c r="AB160" s="77" t="s">
        <v>2713</v>
      </c>
      <c r="AC160" s="82" t="s">
        <v>2719</v>
      </c>
      <c r="AD160" s="77" t="s">
        <v>2752</v>
      </c>
      <c r="AE160" s="80" t="str">
        <f>HYPERLINK("https://twitter.com/luiswolftigre/status/1639033814751014913")</f>
        <v>https://twitter.com/luiswolftigre/status/1639033814751014913</v>
      </c>
      <c r="AF160" s="79">
        <v>45008.943136574075</v>
      </c>
      <c r="AG160" s="85">
        <v>45008</v>
      </c>
      <c r="AH160" s="82" t="s">
        <v>2917</v>
      </c>
      <c r="AI160" s="77" t="b">
        <v>0</v>
      </c>
      <c r="AJ160" s="77" t="s">
        <v>3736</v>
      </c>
      <c r="AK160" s="77" t="s">
        <v>3752</v>
      </c>
      <c r="AL160" s="77" t="s">
        <v>3755</v>
      </c>
      <c r="AM160" s="77" t="s">
        <v>3760</v>
      </c>
      <c r="AN160" s="77" t="s">
        <v>3776</v>
      </c>
      <c r="AO160" s="77" t="s">
        <v>3794</v>
      </c>
      <c r="AP160" s="77" t="s">
        <v>3808</v>
      </c>
      <c r="AQ160" s="77" t="s">
        <v>3932</v>
      </c>
      <c r="AR160" s="77">
        <v>8637</v>
      </c>
      <c r="AS160" s="77"/>
      <c r="AT160" s="77"/>
      <c r="AU160" s="77"/>
      <c r="AV160" s="80" t="str">
        <f>HYPERLINK("https://pbs.twimg.com/ext_tw_video_thumb/1639033778331869187/pu/img/8sht6hNqaWWUI4Wi.jpg")</f>
        <v>https://pbs.twimg.com/ext_tw_video_thumb/1639033778331869187/pu/img/8sht6hNqaWWUI4Wi.jpg</v>
      </c>
      <c r="AW160" s="82" t="s">
        <v>4494</v>
      </c>
      <c r="AX160" s="82" t="s">
        <v>4494</v>
      </c>
      <c r="AY160" s="77"/>
      <c r="AZ160" s="82" t="s">
        <v>5615</v>
      </c>
      <c r="BA160" s="82" t="s">
        <v>5615</v>
      </c>
      <c r="BB160" s="82" t="s">
        <v>5615</v>
      </c>
      <c r="BC160" s="82" t="s">
        <v>4494</v>
      </c>
      <c r="BD160" s="82" t="s">
        <v>5899</v>
      </c>
      <c r="BE160" s="77"/>
      <c r="BF160" s="77"/>
      <c r="BG160" s="77"/>
      <c r="BH160" s="77"/>
      <c r="BI160" s="77"/>
    </row>
    <row r="161" spans="1:61" x14ac:dyDescent="0.25">
      <c r="A161" s="62" t="s">
        <v>288</v>
      </c>
      <c r="B161" s="62" t="s">
        <v>288</v>
      </c>
      <c r="C161" s="63"/>
      <c r="D161" s="64"/>
      <c r="E161" s="65"/>
      <c r="F161" s="66"/>
      <c r="G161" s="63"/>
      <c r="H161" s="67"/>
      <c r="I161" s="68"/>
      <c r="J161" s="68"/>
      <c r="K161" s="32"/>
      <c r="L161" s="75">
        <v>161</v>
      </c>
      <c r="M161" s="75"/>
      <c r="N161" s="70"/>
      <c r="O161" s="77" t="s">
        <v>179</v>
      </c>
      <c r="P161" s="79">
        <v>45008.035601851851</v>
      </c>
      <c r="Q161" s="77" t="s">
        <v>744</v>
      </c>
      <c r="R161" s="77">
        <v>0</v>
      </c>
      <c r="S161" s="77">
        <v>1</v>
      </c>
      <c r="T161" s="77">
        <v>1</v>
      </c>
      <c r="U161" s="77">
        <v>0</v>
      </c>
      <c r="V161" s="77">
        <v>24</v>
      </c>
      <c r="W161" s="82" t="s">
        <v>1645</v>
      </c>
      <c r="X161" s="77"/>
      <c r="Y161" s="77"/>
      <c r="Z161" s="77"/>
      <c r="AA161" s="77" t="s">
        <v>2307</v>
      </c>
      <c r="AB161" s="77" t="s">
        <v>2713</v>
      </c>
      <c r="AC161" s="82" t="s">
        <v>2719</v>
      </c>
      <c r="AD161" s="77" t="s">
        <v>2752</v>
      </c>
      <c r="AE161" s="80" t="str">
        <f>HYPERLINK("https://twitter.com/luiswolftigre/status/1638704934483902465")</f>
        <v>https://twitter.com/luiswolftigre/status/1638704934483902465</v>
      </c>
      <c r="AF161" s="79">
        <v>45008.035601851851</v>
      </c>
      <c r="AG161" s="85">
        <v>45008</v>
      </c>
      <c r="AH161" s="82" t="s">
        <v>2918</v>
      </c>
      <c r="AI161" s="77" t="b">
        <v>0</v>
      </c>
      <c r="AJ161" s="77" t="s">
        <v>3736</v>
      </c>
      <c r="AK161" s="77" t="s">
        <v>3752</v>
      </c>
      <c r="AL161" s="77" t="s">
        <v>3755</v>
      </c>
      <c r="AM161" s="77" t="s">
        <v>3760</v>
      </c>
      <c r="AN161" s="77" t="s">
        <v>3776</v>
      </c>
      <c r="AO161" s="77" t="s">
        <v>3794</v>
      </c>
      <c r="AP161" s="77" t="s">
        <v>3808</v>
      </c>
      <c r="AQ161" s="77" t="s">
        <v>3933</v>
      </c>
      <c r="AR161" s="77">
        <v>7615</v>
      </c>
      <c r="AS161" s="77"/>
      <c r="AT161" s="77"/>
      <c r="AU161" s="77"/>
      <c r="AV161" s="80" t="str">
        <f>HYPERLINK("https://pbs.twimg.com/ext_tw_video_thumb/1638704901092962305/pu/img/nfcjqD8nE9-CkZzl.jpg")</f>
        <v>https://pbs.twimg.com/ext_tw_video_thumb/1638704901092962305/pu/img/nfcjqD8nE9-CkZzl.jpg</v>
      </c>
      <c r="AW161" s="82" t="s">
        <v>4495</v>
      </c>
      <c r="AX161" s="82" t="s">
        <v>4495</v>
      </c>
      <c r="AY161" s="77"/>
      <c r="AZ161" s="82" t="s">
        <v>5615</v>
      </c>
      <c r="BA161" s="82" t="s">
        <v>5615</v>
      </c>
      <c r="BB161" s="82" t="s">
        <v>5615</v>
      </c>
      <c r="BC161" s="82" t="s">
        <v>4495</v>
      </c>
      <c r="BD161" s="82" t="s">
        <v>5899</v>
      </c>
      <c r="BE161" s="77"/>
      <c r="BF161" s="77"/>
      <c r="BG161" s="77"/>
      <c r="BH161" s="77"/>
      <c r="BI161" s="77"/>
    </row>
    <row r="162" spans="1:61" x14ac:dyDescent="0.25">
      <c r="A162" s="62" t="s">
        <v>288</v>
      </c>
      <c r="B162" s="62" t="s">
        <v>288</v>
      </c>
      <c r="C162" s="63"/>
      <c r="D162" s="64"/>
      <c r="E162" s="65"/>
      <c r="F162" s="66"/>
      <c r="G162" s="63"/>
      <c r="H162" s="67"/>
      <c r="I162" s="68"/>
      <c r="J162" s="68"/>
      <c r="K162" s="32"/>
      <c r="L162" s="75">
        <v>162</v>
      </c>
      <c r="M162" s="75"/>
      <c r="N162" s="70"/>
      <c r="O162" s="77" t="s">
        <v>179</v>
      </c>
      <c r="P162" s="79">
        <v>45007.933298611111</v>
      </c>
      <c r="Q162" s="77" t="s">
        <v>745</v>
      </c>
      <c r="R162" s="77">
        <v>0</v>
      </c>
      <c r="S162" s="77">
        <v>1</v>
      </c>
      <c r="T162" s="77">
        <v>1</v>
      </c>
      <c r="U162" s="77">
        <v>0</v>
      </c>
      <c r="V162" s="77">
        <v>21</v>
      </c>
      <c r="W162" s="82" t="s">
        <v>1645</v>
      </c>
      <c r="X162" s="77"/>
      <c r="Y162" s="77"/>
      <c r="Z162" s="77"/>
      <c r="AA162" s="77" t="s">
        <v>2308</v>
      </c>
      <c r="AB162" s="77" t="s">
        <v>2713</v>
      </c>
      <c r="AC162" s="82" t="s">
        <v>2719</v>
      </c>
      <c r="AD162" s="77" t="s">
        <v>2752</v>
      </c>
      <c r="AE162" s="80" t="str">
        <f>HYPERLINK("https://twitter.com/luiswolftigre/status/1638667862272352257")</f>
        <v>https://twitter.com/luiswolftigre/status/1638667862272352257</v>
      </c>
      <c r="AF162" s="79">
        <v>45007.933298611111</v>
      </c>
      <c r="AG162" s="85">
        <v>45007</v>
      </c>
      <c r="AH162" s="82" t="s">
        <v>2919</v>
      </c>
      <c r="AI162" s="77" t="b">
        <v>0</v>
      </c>
      <c r="AJ162" s="77" t="s">
        <v>3736</v>
      </c>
      <c r="AK162" s="77" t="s">
        <v>3752</v>
      </c>
      <c r="AL162" s="77" t="s">
        <v>3755</v>
      </c>
      <c r="AM162" s="77" t="s">
        <v>3760</v>
      </c>
      <c r="AN162" s="77" t="s">
        <v>3776</v>
      </c>
      <c r="AO162" s="77" t="s">
        <v>3794</v>
      </c>
      <c r="AP162" s="77" t="s">
        <v>3808</v>
      </c>
      <c r="AQ162" s="77" t="s">
        <v>3934</v>
      </c>
      <c r="AR162" s="77">
        <v>6779</v>
      </c>
      <c r="AS162" s="77"/>
      <c r="AT162" s="77"/>
      <c r="AU162" s="77"/>
      <c r="AV162" s="80" t="str">
        <f>HYPERLINK("https://pbs.twimg.com/ext_tw_video_thumb/1638667821101006855/pu/img/umbf2C4b8Nc3ddJF.jpg")</f>
        <v>https://pbs.twimg.com/ext_tw_video_thumb/1638667821101006855/pu/img/umbf2C4b8Nc3ddJF.jpg</v>
      </c>
      <c r="AW162" s="82" t="s">
        <v>4496</v>
      </c>
      <c r="AX162" s="82" t="s">
        <v>4496</v>
      </c>
      <c r="AY162" s="77"/>
      <c r="AZ162" s="82" t="s">
        <v>5615</v>
      </c>
      <c r="BA162" s="82" t="s">
        <v>5615</v>
      </c>
      <c r="BB162" s="82" t="s">
        <v>5615</v>
      </c>
      <c r="BC162" s="82" t="s">
        <v>4496</v>
      </c>
      <c r="BD162" s="82" t="s">
        <v>5899</v>
      </c>
      <c r="BE162" s="77"/>
      <c r="BF162" s="77"/>
      <c r="BG162" s="77"/>
      <c r="BH162" s="77"/>
      <c r="BI162" s="77"/>
    </row>
    <row r="163" spans="1:61" x14ac:dyDescent="0.25">
      <c r="A163" s="62" t="s">
        <v>288</v>
      </c>
      <c r="B163" s="62" t="s">
        <v>288</v>
      </c>
      <c r="C163" s="63"/>
      <c r="D163" s="64"/>
      <c r="E163" s="65"/>
      <c r="F163" s="66"/>
      <c r="G163" s="63"/>
      <c r="H163" s="67"/>
      <c r="I163" s="68"/>
      <c r="J163" s="68"/>
      <c r="K163" s="32"/>
      <c r="L163" s="75">
        <v>163</v>
      </c>
      <c r="M163" s="75"/>
      <c r="N163" s="70"/>
      <c r="O163" s="77" t="s">
        <v>179</v>
      </c>
      <c r="P163" s="79">
        <v>45006.927175925928</v>
      </c>
      <c r="Q163" s="77" t="s">
        <v>746</v>
      </c>
      <c r="R163" s="77">
        <v>0</v>
      </c>
      <c r="S163" s="77">
        <v>1</v>
      </c>
      <c r="T163" s="77">
        <v>1</v>
      </c>
      <c r="U163" s="77">
        <v>0</v>
      </c>
      <c r="V163" s="77">
        <v>37</v>
      </c>
      <c r="W163" s="82" t="s">
        <v>1646</v>
      </c>
      <c r="X163" s="77"/>
      <c r="Y163" s="77"/>
      <c r="Z163" s="77"/>
      <c r="AA163" s="77" t="s">
        <v>2309</v>
      </c>
      <c r="AB163" s="77" t="s">
        <v>2713</v>
      </c>
      <c r="AC163" s="82" t="s">
        <v>2719</v>
      </c>
      <c r="AD163" s="77" t="s">
        <v>2752</v>
      </c>
      <c r="AE163" s="80" t="str">
        <f>HYPERLINK("https://twitter.com/luiswolftigre/status/1638303252809764866")</f>
        <v>https://twitter.com/luiswolftigre/status/1638303252809764866</v>
      </c>
      <c r="AF163" s="79">
        <v>45006.927175925928</v>
      </c>
      <c r="AG163" s="85">
        <v>45006</v>
      </c>
      <c r="AH163" s="82" t="s">
        <v>2920</v>
      </c>
      <c r="AI163" s="77" t="b">
        <v>0</v>
      </c>
      <c r="AJ163" s="77" t="s">
        <v>3736</v>
      </c>
      <c r="AK163" s="77" t="s">
        <v>3752</v>
      </c>
      <c r="AL163" s="77" t="s">
        <v>3755</v>
      </c>
      <c r="AM163" s="77" t="s">
        <v>3760</v>
      </c>
      <c r="AN163" s="77" t="s">
        <v>3776</v>
      </c>
      <c r="AO163" s="77" t="s">
        <v>3794</v>
      </c>
      <c r="AP163" s="77" t="s">
        <v>3808</v>
      </c>
      <c r="AQ163" s="77" t="s">
        <v>3935</v>
      </c>
      <c r="AR163" s="77">
        <v>23966</v>
      </c>
      <c r="AS163" s="77"/>
      <c r="AT163" s="77"/>
      <c r="AU163" s="77"/>
      <c r="AV163" s="80" t="str">
        <f>HYPERLINK("https://pbs.twimg.com/ext_tw_video_thumb/1638303197050568704/pu/img/f7As9l2HJXV1VxmF.jpg")</f>
        <v>https://pbs.twimg.com/ext_tw_video_thumb/1638303197050568704/pu/img/f7As9l2HJXV1VxmF.jpg</v>
      </c>
      <c r="AW163" s="82" t="s">
        <v>4497</v>
      </c>
      <c r="AX163" s="82" t="s">
        <v>4497</v>
      </c>
      <c r="AY163" s="77"/>
      <c r="AZ163" s="82" t="s">
        <v>5615</v>
      </c>
      <c r="BA163" s="82" t="s">
        <v>5615</v>
      </c>
      <c r="BB163" s="82" t="s">
        <v>5615</v>
      </c>
      <c r="BC163" s="82" t="s">
        <v>4497</v>
      </c>
      <c r="BD163" s="82" t="s">
        <v>5899</v>
      </c>
      <c r="BE163" s="77"/>
      <c r="BF163" s="77"/>
      <c r="BG163" s="77"/>
      <c r="BH163" s="77"/>
      <c r="BI163" s="77"/>
    </row>
    <row r="164" spans="1:61" x14ac:dyDescent="0.25">
      <c r="A164" s="62" t="s">
        <v>288</v>
      </c>
      <c r="B164" s="62" t="s">
        <v>288</v>
      </c>
      <c r="C164" s="63"/>
      <c r="D164" s="64"/>
      <c r="E164" s="65"/>
      <c r="F164" s="66"/>
      <c r="G164" s="63"/>
      <c r="H164" s="67"/>
      <c r="I164" s="68"/>
      <c r="J164" s="68"/>
      <c r="K164" s="32"/>
      <c r="L164" s="75">
        <v>164</v>
      </c>
      <c r="M164" s="75"/>
      <c r="N164" s="70"/>
      <c r="O164" s="77" t="s">
        <v>179</v>
      </c>
      <c r="P164" s="79">
        <v>45006.096458333333</v>
      </c>
      <c r="Q164" s="77" t="s">
        <v>747</v>
      </c>
      <c r="R164" s="77">
        <v>0</v>
      </c>
      <c r="S164" s="77">
        <v>1</v>
      </c>
      <c r="T164" s="77">
        <v>1</v>
      </c>
      <c r="U164" s="77">
        <v>0</v>
      </c>
      <c r="V164" s="77">
        <v>39</v>
      </c>
      <c r="W164" s="82" t="s">
        <v>1647</v>
      </c>
      <c r="X164" s="77"/>
      <c r="Y164" s="77"/>
      <c r="Z164" s="77"/>
      <c r="AA164" s="77" t="s">
        <v>2310</v>
      </c>
      <c r="AB164" s="77" t="s">
        <v>2713</v>
      </c>
      <c r="AC164" s="82" t="s">
        <v>2719</v>
      </c>
      <c r="AD164" s="77" t="s">
        <v>2752</v>
      </c>
      <c r="AE164" s="80" t="str">
        <f>HYPERLINK("https://twitter.com/luiswolftigre/status/1638002213036457984")</f>
        <v>https://twitter.com/luiswolftigre/status/1638002213036457984</v>
      </c>
      <c r="AF164" s="79">
        <v>45006.096458333333</v>
      </c>
      <c r="AG164" s="85">
        <v>45006</v>
      </c>
      <c r="AH164" s="82" t="s">
        <v>2921</v>
      </c>
      <c r="AI164" s="77" t="b">
        <v>0</v>
      </c>
      <c r="AJ164" s="77" t="s">
        <v>3736</v>
      </c>
      <c r="AK164" s="77" t="s">
        <v>3752</v>
      </c>
      <c r="AL164" s="77" t="s">
        <v>3755</v>
      </c>
      <c r="AM164" s="77" t="s">
        <v>3760</v>
      </c>
      <c r="AN164" s="77" t="s">
        <v>3776</v>
      </c>
      <c r="AO164" s="77" t="s">
        <v>3794</v>
      </c>
      <c r="AP164" s="77" t="s">
        <v>3808</v>
      </c>
      <c r="AQ164" s="77" t="s">
        <v>3936</v>
      </c>
      <c r="AR164" s="77">
        <v>10309</v>
      </c>
      <c r="AS164" s="77"/>
      <c r="AT164" s="77"/>
      <c r="AU164" s="77"/>
      <c r="AV164" s="80" t="str">
        <f>HYPERLINK("https://pbs.twimg.com/ext_tw_video_thumb/1638002169717698562/pu/img/sP_YvaYER8atbiv9.jpg")</f>
        <v>https://pbs.twimg.com/ext_tw_video_thumb/1638002169717698562/pu/img/sP_YvaYER8atbiv9.jpg</v>
      </c>
      <c r="AW164" s="82" t="s">
        <v>4498</v>
      </c>
      <c r="AX164" s="82" t="s">
        <v>4498</v>
      </c>
      <c r="AY164" s="77"/>
      <c r="AZ164" s="82" t="s">
        <v>5615</v>
      </c>
      <c r="BA164" s="82" t="s">
        <v>5615</v>
      </c>
      <c r="BB164" s="82" t="s">
        <v>5615</v>
      </c>
      <c r="BC164" s="82" t="s">
        <v>4498</v>
      </c>
      <c r="BD164" s="82" t="s">
        <v>5899</v>
      </c>
      <c r="BE164" s="77"/>
      <c r="BF164" s="77"/>
      <c r="BG164" s="77"/>
      <c r="BH164" s="77"/>
      <c r="BI164" s="77"/>
    </row>
    <row r="165" spans="1:61" x14ac:dyDescent="0.25">
      <c r="A165" s="62" t="s">
        <v>288</v>
      </c>
      <c r="B165" s="62" t="s">
        <v>288</v>
      </c>
      <c r="C165" s="63"/>
      <c r="D165" s="64"/>
      <c r="E165" s="65"/>
      <c r="F165" s="66"/>
      <c r="G165" s="63"/>
      <c r="H165" s="67"/>
      <c r="I165" s="68"/>
      <c r="J165" s="68"/>
      <c r="K165" s="32"/>
      <c r="L165" s="75">
        <v>165</v>
      </c>
      <c r="M165" s="75"/>
      <c r="N165" s="70"/>
      <c r="O165" s="77" t="s">
        <v>179</v>
      </c>
      <c r="P165" s="79">
        <v>45005.112002314818</v>
      </c>
      <c r="Q165" s="77" t="s">
        <v>748</v>
      </c>
      <c r="R165" s="77">
        <v>0</v>
      </c>
      <c r="S165" s="77">
        <v>1</v>
      </c>
      <c r="T165" s="77">
        <v>1</v>
      </c>
      <c r="U165" s="77">
        <v>0</v>
      </c>
      <c r="V165" s="77">
        <v>8</v>
      </c>
      <c r="W165" s="82" t="s">
        <v>1638</v>
      </c>
      <c r="X165" s="77"/>
      <c r="Y165" s="77"/>
      <c r="Z165" s="77"/>
      <c r="AA165" s="77" t="s">
        <v>2311</v>
      </c>
      <c r="AB165" s="77" t="s">
        <v>2713</v>
      </c>
      <c r="AC165" s="82" t="s">
        <v>2719</v>
      </c>
      <c r="AD165" s="77" t="s">
        <v>2759</v>
      </c>
      <c r="AE165" s="80" t="str">
        <f>HYPERLINK("https://twitter.com/luiswolftigre/status/1637645455520591875")</f>
        <v>https://twitter.com/luiswolftigre/status/1637645455520591875</v>
      </c>
      <c r="AF165" s="79">
        <v>45005.112002314818</v>
      </c>
      <c r="AG165" s="85">
        <v>45005</v>
      </c>
      <c r="AH165" s="82" t="s">
        <v>2922</v>
      </c>
      <c r="AI165" s="77" t="b">
        <v>0</v>
      </c>
      <c r="AJ165" s="77" t="s">
        <v>3736</v>
      </c>
      <c r="AK165" s="77" t="s">
        <v>3752</v>
      </c>
      <c r="AL165" s="77" t="s">
        <v>3755</v>
      </c>
      <c r="AM165" s="77" t="s">
        <v>3760</v>
      </c>
      <c r="AN165" s="77" t="s">
        <v>3776</v>
      </c>
      <c r="AO165" s="77" t="s">
        <v>3794</v>
      </c>
      <c r="AP165" s="77" t="s">
        <v>3808</v>
      </c>
      <c r="AQ165" s="77" t="s">
        <v>3937</v>
      </c>
      <c r="AR165" s="77">
        <v>10100</v>
      </c>
      <c r="AS165" s="77"/>
      <c r="AT165" s="77"/>
      <c r="AU165" s="77"/>
      <c r="AV165" s="80" t="str">
        <f>HYPERLINK("https://pbs.twimg.com/ext_tw_video_thumb/1637645412885487616/pu/img/-SzSddVpvgN5cKPT.jpg")</f>
        <v>https://pbs.twimg.com/ext_tw_video_thumb/1637645412885487616/pu/img/-SzSddVpvgN5cKPT.jpg</v>
      </c>
      <c r="AW165" s="82" t="s">
        <v>4499</v>
      </c>
      <c r="AX165" s="82" t="s">
        <v>4499</v>
      </c>
      <c r="AY165" s="77"/>
      <c r="AZ165" s="82" t="s">
        <v>5615</v>
      </c>
      <c r="BA165" s="82" t="s">
        <v>5615</v>
      </c>
      <c r="BB165" s="82" t="s">
        <v>5615</v>
      </c>
      <c r="BC165" s="82" t="s">
        <v>4499</v>
      </c>
      <c r="BD165" s="82" t="s">
        <v>5899</v>
      </c>
      <c r="BE165" s="77"/>
      <c r="BF165" s="77"/>
      <c r="BG165" s="77"/>
      <c r="BH165" s="77"/>
      <c r="BI165" s="77"/>
    </row>
    <row r="166" spans="1:61" x14ac:dyDescent="0.25">
      <c r="A166" s="62" t="s">
        <v>288</v>
      </c>
      <c r="B166" s="62" t="s">
        <v>288</v>
      </c>
      <c r="C166" s="63"/>
      <c r="D166" s="64"/>
      <c r="E166" s="65"/>
      <c r="F166" s="66"/>
      <c r="G166" s="63"/>
      <c r="H166" s="67"/>
      <c r="I166" s="68"/>
      <c r="J166" s="68"/>
      <c r="K166" s="32"/>
      <c r="L166" s="75">
        <v>166</v>
      </c>
      <c r="M166" s="75"/>
      <c r="N166" s="70"/>
      <c r="O166" s="77" t="s">
        <v>179</v>
      </c>
      <c r="P166" s="79">
        <v>45004.653113425928</v>
      </c>
      <c r="Q166" s="77" t="s">
        <v>749</v>
      </c>
      <c r="R166" s="77">
        <v>0</v>
      </c>
      <c r="S166" s="77">
        <v>2</v>
      </c>
      <c r="T166" s="77">
        <v>1</v>
      </c>
      <c r="U166" s="77">
        <v>0</v>
      </c>
      <c r="V166" s="77">
        <v>25</v>
      </c>
      <c r="W166" s="82" t="s">
        <v>1648</v>
      </c>
      <c r="X166" s="77"/>
      <c r="Y166" s="77"/>
      <c r="Z166" s="77"/>
      <c r="AA166" s="77" t="s">
        <v>2312</v>
      </c>
      <c r="AB166" s="77" t="s">
        <v>2713</v>
      </c>
      <c r="AC166" s="82" t="s">
        <v>2719</v>
      </c>
      <c r="AD166" s="77" t="s">
        <v>2752</v>
      </c>
      <c r="AE166" s="80" t="str">
        <f>HYPERLINK("https://twitter.com/luiswolftigre/status/1637479160321900544")</f>
        <v>https://twitter.com/luiswolftigre/status/1637479160321900544</v>
      </c>
      <c r="AF166" s="79">
        <v>45004.653113425928</v>
      </c>
      <c r="AG166" s="85">
        <v>45004</v>
      </c>
      <c r="AH166" s="82" t="s">
        <v>2923</v>
      </c>
      <c r="AI166" s="77" t="b">
        <v>0</v>
      </c>
      <c r="AJ166" s="77" t="s">
        <v>3736</v>
      </c>
      <c r="AK166" s="77" t="s">
        <v>3752</v>
      </c>
      <c r="AL166" s="77" t="s">
        <v>3755</v>
      </c>
      <c r="AM166" s="77" t="s">
        <v>3760</v>
      </c>
      <c r="AN166" s="77" t="s">
        <v>3776</v>
      </c>
      <c r="AO166" s="77" t="s">
        <v>3794</v>
      </c>
      <c r="AP166" s="77" t="s">
        <v>3808</v>
      </c>
      <c r="AQ166" s="77" t="s">
        <v>3938</v>
      </c>
      <c r="AR166" s="77">
        <v>8382</v>
      </c>
      <c r="AS166" s="77"/>
      <c r="AT166" s="77"/>
      <c r="AU166" s="77"/>
      <c r="AV166" s="80" t="str">
        <f>HYPERLINK("https://pbs.twimg.com/ext_tw_video_thumb/1637479114876567554/pu/img/M6g1nAiXXAG8o_N8.jpg")</f>
        <v>https://pbs.twimg.com/ext_tw_video_thumb/1637479114876567554/pu/img/M6g1nAiXXAG8o_N8.jpg</v>
      </c>
      <c r="AW166" s="82" t="s">
        <v>4500</v>
      </c>
      <c r="AX166" s="82" t="s">
        <v>4500</v>
      </c>
      <c r="AY166" s="77"/>
      <c r="AZ166" s="82" t="s">
        <v>5615</v>
      </c>
      <c r="BA166" s="82" t="s">
        <v>5615</v>
      </c>
      <c r="BB166" s="82" t="s">
        <v>5615</v>
      </c>
      <c r="BC166" s="82" t="s">
        <v>4500</v>
      </c>
      <c r="BD166" s="82" t="s">
        <v>5899</v>
      </c>
      <c r="BE166" s="77"/>
      <c r="BF166" s="77"/>
      <c r="BG166" s="77"/>
      <c r="BH166" s="77"/>
      <c r="BI166" s="77"/>
    </row>
    <row r="167" spans="1:61" x14ac:dyDescent="0.25">
      <c r="A167" s="62" t="s">
        <v>288</v>
      </c>
      <c r="B167" s="62" t="s">
        <v>288</v>
      </c>
      <c r="C167" s="63"/>
      <c r="D167" s="64"/>
      <c r="E167" s="65"/>
      <c r="F167" s="66"/>
      <c r="G167" s="63"/>
      <c r="H167" s="67"/>
      <c r="I167" s="68"/>
      <c r="J167" s="68"/>
      <c r="K167" s="32"/>
      <c r="L167" s="75">
        <v>167</v>
      </c>
      <c r="M167" s="75"/>
      <c r="N167" s="70"/>
      <c r="O167" s="77" t="s">
        <v>179</v>
      </c>
      <c r="P167" s="79">
        <v>45003.924166666664</v>
      </c>
      <c r="Q167" s="77" t="s">
        <v>750</v>
      </c>
      <c r="R167" s="77">
        <v>0</v>
      </c>
      <c r="S167" s="77">
        <v>1</v>
      </c>
      <c r="T167" s="77">
        <v>1</v>
      </c>
      <c r="U167" s="77">
        <v>0</v>
      </c>
      <c r="V167" s="77">
        <v>30</v>
      </c>
      <c r="W167" s="82" t="s">
        <v>1649</v>
      </c>
      <c r="X167" s="77"/>
      <c r="Y167" s="77"/>
      <c r="Z167" s="77"/>
      <c r="AA167" s="77" t="s">
        <v>2313</v>
      </c>
      <c r="AB167" s="77" t="s">
        <v>2713</v>
      </c>
      <c r="AC167" s="82" t="s">
        <v>2719</v>
      </c>
      <c r="AD167" s="77" t="s">
        <v>2752</v>
      </c>
      <c r="AE167" s="80" t="str">
        <f>HYPERLINK("https://twitter.com/luiswolftigre/status/1637215000048680961")</f>
        <v>https://twitter.com/luiswolftigre/status/1637215000048680961</v>
      </c>
      <c r="AF167" s="79">
        <v>45003.924166666664</v>
      </c>
      <c r="AG167" s="85">
        <v>45003</v>
      </c>
      <c r="AH167" s="82" t="s">
        <v>2924</v>
      </c>
      <c r="AI167" s="77" t="b">
        <v>0</v>
      </c>
      <c r="AJ167" s="77" t="s">
        <v>3736</v>
      </c>
      <c r="AK167" s="77" t="s">
        <v>3752</v>
      </c>
      <c r="AL167" s="77" t="s">
        <v>3755</v>
      </c>
      <c r="AM167" s="77" t="s">
        <v>3760</v>
      </c>
      <c r="AN167" s="77" t="s">
        <v>3776</v>
      </c>
      <c r="AO167" s="77" t="s">
        <v>3794</v>
      </c>
      <c r="AP167" s="77" t="s">
        <v>3808</v>
      </c>
      <c r="AQ167" s="77" t="s">
        <v>3939</v>
      </c>
      <c r="AR167" s="77">
        <v>13884</v>
      </c>
      <c r="AS167" s="77"/>
      <c r="AT167" s="77"/>
      <c r="AU167" s="77"/>
      <c r="AV167" s="80" t="str">
        <f>HYPERLINK("https://pbs.twimg.com/ext_tw_video_thumb/1637214948982939648/pu/img/dBOgFtEW6Yw6y7wj.jpg")</f>
        <v>https://pbs.twimg.com/ext_tw_video_thumb/1637214948982939648/pu/img/dBOgFtEW6Yw6y7wj.jpg</v>
      </c>
      <c r="AW167" s="82" t="s">
        <v>4501</v>
      </c>
      <c r="AX167" s="82" t="s">
        <v>4501</v>
      </c>
      <c r="AY167" s="77"/>
      <c r="AZ167" s="82" t="s">
        <v>5615</v>
      </c>
      <c r="BA167" s="82" t="s">
        <v>5615</v>
      </c>
      <c r="BB167" s="82" t="s">
        <v>5615</v>
      </c>
      <c r="BC167" s="82" t="s">
        <v>4501</v>
      </c>
      <c r="BD167" s="82" t="s">
        <v>5899</v>
      </c>
      <c r="BE167" s="77"/>
      <c r="BF167" s="77"/>
      <c r="BG167" s="77"/>
      <c r="BH167" s="77"/>
      <c r="BI167" s="77"/>
    </row>
    <row r="168" spans="1:61" x14ac:dyDescent="0.25">
      <c r="A168" s="62" t="s">
        <v>288</v>
      </c>
      <c r="B168" s="62" t="s">
        <v>288</v>
      </c>
      <c r="C168" s="63"/>
      <c r="D168" s="64"/>
      <c r="E168" s="65"/>
      <c r="F168" s="66"/>
      <c r="G168" s="63"/>
      <c r="H168" s="67"/>
      <c r="I168" s="68"/>
      <c r="J168" s="68"/>
      <c r="K168" s="32"/>
      <c r="L168" s="75">
        <v>168</v>
      </c>
      <c r="M168" s="75"/>
      <c r="N168" s="70"/>
      <c r="O168" s="77" t="s">
        <v>179</v>
      </c>
      <c r="P168" s="79">
        <v>45003.707476851851</v>
      </c>
      <c r="Q168" s="77" t="s">
        <v>751</v>
      </c>
      <c r="R168" s="77">
        <v>0</v>
      </c>
      <c r="S168" s="77">
        <v>1</v>
      </c>
      <c r="T168" s="77">
        <v>1</v>
      </c>
      <c r="U168" s="77">
        <v>0</v>
      </c>
      <c r="V168" s="77">
        <v>29</v>
      </c>
      <c r="W168" s="82" t="s">
        <v>1650</v>
      </c>
      <c r="X168" s="77"/>
      <c r="Y168" s="77"/>
      <c r="Z168" s="77"/>
      <c r="AA168" s="77" t="s">
        <v>2314</v>
      </c>
      <c r="AB168" s="77" t="s">
        <v>2713</v>
      </c>
      <c r="AC168" s="82" t="s">
        <v>2719</v>
      </c>
      <c r="AD168" s="77" t="s">
        <v>2752</v>
      </c>
      <c r="AE168" s="80" t="str">
        <f>HYPERLINK("https://twitter.com/luiswolftigre/status/1637136475081900037")</f>
        <v>https://twitter.com/luiswolftigre/status/1637136475081900037</v>
      </c>
      <c r="AF168" s="79">
        <v>45003.707476851851</v>
      </c>
      <c r="AG168" s="85">
        <v>45003</v>
      </c>
      <c r="AH168" s="82" t="s">
        <v>2925</v>
      </c>
      <c r="AI168" s="77" t="b">
        <v>0</v>
      </c>
      <c r="AJ168" s="77" t="s">
        <v>3736</v>
      </c>
      <c r="AK168" s="77" t="s">
        <v>3752</v>
      </c>
      <c r="AL168" s="77" t="s">
        <v>3755</v>
      </c>
      <c r="AM168" s="77" t="s">
        <v>3760</v>
      </c>
      <c r="AN168" s="77" t="s">
        <v>3776</v>
      </c>
      <c r="AO168" s="77" t="s">
        <v>3794</v>
      </c>
      <c r="AP168" s="77" t="s">
        <v>3808</v>
      </c>
      <c r="AQ168" s="77" t="s">
        <v>3940</v>
      </c>
      <c r="AR168" s="77">
        <v>13420</v>
      </c>
      <c r="AS168" s="77"/>
      <c r="AT168" s="77"/>
      <c r="AU168" s="77"/>
      <c r="AV168" s="80" t="str">
        <f>HYPERLINK("https://pbs.twimg.com/ext_tw_video_thumb/1637136416827113476/pu/img/uw2J4Xg7GbdkziP_.jpg")</f>
        <v>https://pbs.twimg.com/ext_tw_video_thumb/1637136416827113476/pu/img/uw2J4Xg7GbdkziP_.jpg</v>
      </c>
      <c r="AW168" s="82" t="s">
        <v>4502</v>
      </c>
      <c r="AX168" s="82" t="s">
        <v>4502</v>
      </c>
      <c r="AY168" s="77"/>
      <c r="AZ168" s="82" t="s">
        <v>5615</v>
      </c>
      <c r="BA168" s="82" t="s">
        <v>5615</v>
      </c>
      <c r="BB168" s="82" t="s">
        <v>5615</v>
      </c>
      <c r="BC168" s="82" t="s">
        <v>4502</v>
      </c>
      <c r="BD168" s="82" t="s">
        <v>5899</v>
      </c>
      <c r="BE168" s="77"/>
      <c r="BF168" s="77"/>
      <c r="BG168" s="77"/>
      <c r="BH168" s="77"/>
      <c r="BI168" s="77"/>
    </row>
    <row r="169" spans="1:61" x14ac:dyDescent="0.25">
      <c r="A169" s="62" t="s">
        <v>288</v>
      </c>
      <c r="B169" s="62" t="s">
        <v>288</v>
      </c>
      <c r="C169" s="63"/>
      <c r="D169" s="64"/>
      <c r="E169" s="65"/>
      <c r="F169" s="66"/>
      <c r="G169" s="63"/>
      <c r="H169" s="67"/>
      <c r="I169" s="68"/>
      <c r="J169" s="68"/>
      <c r="K169" s="32"/>
      <c r="L169" s="75">
        <v>169</v>
      </c>
      <c r="M169" s="75"/>
      <c r="N169" s="70"/>
      <c r="O169" s="77" t="s">
        <v>179</v>
      </c>
      <c r="P169" s="79">
        <v>45002.943182870367</v>
      </c>
      <c r="Q169" s="77" t="s">
        <v>752</v>
      </c>
      <c r="R169" s="77">
        <v>0</v>
      </c>
      <c r="S169" s="77">
        <v>1</v>
      </c>
      <c r="T169" s="77">
        <v>1</v>
      </c>
      <c r="U169" s="77">
        <v>0</v>
      </c>
      <c r="V169" s="77">
        <v>31</v>
      </c>
      <c r="W169" s="82" t="s">
        <v>1651</v>
      </c>
      <c r="X169" s="77"/>
      <c r="Y169" s="77"/>
      <c r="Z169" s="77"/>
      <c r="AA169" s="77" t="s">
        <v>2315</v>
      </c>
      <c r="AB169" s="77" t="s">
        <v>2713</v>
      </c>
      <c r="AC169" s="82" t="s">
        <v>2719</v>
      </c>
      <c r="AD169" s="77" t="s">
        <v>2752</v>
      </c>
      <c r="AE169" s="80" t="str">
        <f>HYPERLINK("https://twitter.com/luiswolftigre/status/1636859502417915906")</f>
        <v>https://twitter.com/luiswolftigre/status/1636859502417915906</v>
      </c>
      <c r="AF169" s="79">
        <v>45002.943182870367</v>
      </c>
      <c r="AG169" s="85">
        <v>45002</v>
      </c>
      <c r="AH169" s="82" t="s">
        <v>2926</v>
      </c>
      <c r="AI169" s="77" t="b">
        <v>0</v>
      </c>
      <c r="AJ169" s="77" t="s">
        <v>3736</v>
      </c>
      <c r="AK169" s="77" t="s">
        <v>3752</v>
      </c>
      <c r="AL169" s="77" t="s">
        <v>3755</v>
      </c>
      <c r="AM169" s="77" t="s">
        <v>3760</v>
      </c>
      <c r="AN169" s="77" t="s">
        <v>3776</v>
      </c>
      <c r="AO169" s="77" t="s">
        <v>3794</v>
      </c>
      <c r="AP169" s="77" t="s">
        <v>3808</v>
      </c>
      <c r="AQ169" s="77" t="s">
        <v>3941</v>
      </c>
      <c r="AR169" s="77">
        <v>13566</v>
      </c>
      <c r="AS169" s="77"/>
      <c r="AT169" s="77"/>
      <c r="AU169" s="77"/>
      <c r="AV169" s="80" t="str">
        <f>HYPERLINK("https://pbs.twimg.com/ext_tw_video_thumb/1636859431710236677/pu/img/EEF3TyDbQKo4qXcn.jpg")</f>
        <v>https://pbs.twimg.com/ext_tw_video_thumb/1636859431710236677/pu/img/EEF3TyDbQKo4qXcn.jpg</v>
      </c>
      <c r="AW169" s="82" t="s">
        <v>4503</v>
      </c>
      <c r="AX169" s="82" t="s">
        <v>4503</v>
      </c>
      <c r="AY169" s="77"/>
      <c r="AZ169" s="82" t="s">
        <v>5615</v>
      </c>
      <c r="BA169" s="82" t="s">
        <v>5615</v>
      </c>
      <c r="BB169" s="82" t="s">
        <v>5615</v>
      </c>
      <c r="BC169" s="82" t="s">
        <v>4503</v>
      </c>
      <c r="BD169" s="82" t="s">
        <v>5899</v>
      </c>
      <c r="BE169" s="77"/>
      <c r="BF169" s="77"/>
      <c r="BG169" s="77"/>
      <c r="BH169" s="77"/>
      <c r="BI169" s="77"/>
    </row>
    <row r="170" spans="1:61" x14ac:dyDescent="0.25">
      <c r="A170" s="62" t="s">
        <v>288</v>
      </c>
      <c r="B170" s="62" t="s">
        <v>288</v>
      </c>
      <c r="C170" s="63"/>
      <c r="D170" s="64"/>
      <c r="E170" s="65"/>
      <c r="F170" s="66"/>
      <c r="G170" s="63"/>
      <c r="H170" s="67"/>
      <c r="I170" s="68"/>
      <c r="J170" s="68"/>
      <c r="K170" s="32"/>
      <c r="L170" s="75">
        <v>170</v>
      </c>
      <c r="M170" s="75"/>
      <c r="N170" s="70"/>
      <c r="O170" s="77" t="s">
        <v>179</v>
      </c>
      <c r="P170" s="79">
        <v>45002.133912037039</v>
      </c>
      <c r="Q170" s="77" t="s">
        <v>753</v>
      </c>
      <c r="R170" s="77">
        <v>0</v>
      </c>
      <c r="S170" s="77">
        <v>1</v>
      </c>
      <c r="T170" s="77">
        <v>1</v>
      </c>
      <c r="U170" s="77">
        <v>0</v>
      </c>
      <c r="V170" s="77">
        <v>21</v>
      </c>
      <c r="W170" s="82" t="s">
        <v>1652</v>
      </c>
      <c r="X170" s="77"/>
      <c r="Y170" s="77"/>
      <c r="Z170" s="77"/>
      <c r="AA170" s="77" t="s">
        <v>2316</v>
      </c>
      <c r="AB170" s="77" t="s">
        <v>2713</v>
      </c>
      <c r="AC170" s="82" t="s">
        <v>2719</v>
      </c>
      <c r="AD170" s="77" t="s">
        <v>2752</v>
      </c>
      <c r="AE170" s="80" t="str">
        <f>HYPERLINK("https://twitter.com/luiswolftigre/status/1636566231342895104")</f>
        <v>https://twitter.com/luiswolftigre/status/1636566231342895104</v>
      </c>
      <c r="AF170" s="79">
        <v>45002.133912037039</v>
      </c>
      <c r="AG170" s="85">
        <v>45002</v>
      </c>
      <c r="AH170" s="82" t="s">
        <v>2927</v>
      </c>
      <c r="AI170" s="77" t="b">
        <v>0</v>
      </c>
      <c r="AJ170" s="77" t="s">
        <v>3736</v>
      </c>
      <c r="AK170" s="77" t="s">
        <v>3752</v>
      </c>
      <c r="AL170" s="77" t="s">
        <v>3755</v>
      </c>
      <c r="AM170" s="77" t="s">
        <v>3760</v>
      </c>
      <c r="AN170" s="77" t="s">
        <v>3776</v>
      </c>
      <c r="AO170" s="77" t="s">
        <v>3794</v>
      </c>
      <c r="AP170" s="77" t="s">
        <v>3808</v>
      </c>
      <c r="AQ170" s="77" t="s">
        <v>3942</v>
      </c>
      <c r="AR170" s="77">
        <v>10518</v>
      </c>
      <c r="AS170" s="77"/>
      <c r="AT170" s="77"/>
      <c r="AU170" s="77"/>
      <c r="AV170" s="80" t="str">
        <f>HYPERLINK("https://pbs.twimg.com/ext_tw_video_thumb/1636566168973484035/pu/img/lT6RD8uOoAcHRtW2.jpg")</f>
        <v>https://pbs.twimg.com/ext_tw_video_thumb/1636566168973484035/pu/img/lT6RD8uOoAcHRtW2.jpg</v>
      </c>
      <c r="AW170" s="82" t="s">
        <v>4504</v>
      </c>
      <c r="AX170" s="82" t="s">
        <v>4504</v>
      </c>
      <c r="AY170" s="77"/>
      <c r="AZ170" s="82" t="s">
        <v>5615</v>
      </c>
      <c r="BA170" s="82" t="s">
        <v>5615</v>
      </c>
      <c r="BB170" s="82" t="s">
        <v>5615</v>
      </c>
      <c r="BC170" s="82" t="s">
        <v>4504</v>
      </c>
      <c r="BD170" s="82" t="s">
        <v>5899</v>
      </c>
      <c r="BE170" s="77"/>
      <c r="BF170" s="77"/>
      <c r="BG170" s="77"/>
      <c r="BH170" s="77"/>
      <c r="BI170" s="77"/>
    </row>
    <row r="171" spans="1:61" x14ac:dyDescent="0.25">
      <c r="A171" s="62" t="s">
        <v>288</v>
      </c>
      <c r="B171" s="62" t="s">
        <v>288</v>
      </c>
      <c r="C171" s="63"/>
      <c r="D171" s="64"/>
      <c r="E171" s="65"/>
      <c r="F171" s="66"/>
      <c r="G171" s="63"/>
      <c r="H171" s="67"/>
      <c r="I171" s="68"/>
      <c r="J171" s="68"/>
      <c r="K171" s="32"/>
      <c r="L171" s="75">
        <v>171</v>
      </c>
      <c r="M171" s="75"/>
      <c r="N171" s="70"/>
      <c r="O171" s="77" t="s">
        <v>179</v>
      </c>
      <c r="P171" s="79">
        <v>45001.950532407405</v>
      </c>
      <c r="Q171" s="77" t="s">
        <v>754</v>
      </c>
      <c r="R171" s="77">
        <v>0</v>
      </c>
      <c r="S171" s="77">
        <v>1</v>
      </c>
      <c r="T171" s="77">
        <v>1</v>
      </c>
      <c r="U171" s="77">
        <v>0</v>
      </c>
      <c r="V171" s="77">
        <v>5</v>
      </c>
      <c r="W171" s="82" t="s">
        <v>1653</v>
      </c>
      <c r="X171" s="80" t="str">
        <f>HYPERLINK("https://go.hotmart.com/Q80572847T?dp=1")</f>
        <v>https://go.hotmart.com/Q80572847T?dp=1</v>
      </c>
      <c r="Y171" s="77" t="s">
        <v>2138</v>
      </c>
      <c r="Z171" s="77"/>
      <c r="AA171" s="77" t="s">
        <v>2317</v>
      </c>
      <c r="AB171" s="77" t="s">
        <v>2714</v>
      </c>
      <c r="AC171" s="82" t="s">
        <v>2719</v>
      </c>
      <c r="AD171" s="77" t="s">
        <v>2753</v>
      </c>
      <c r="AE171" s="80" t="str">
        <f>HYPERLINK("https://twitter.com/luiswolftigre/status/1636499779554254851")</f>
        <v>https://twitter.com/luiswolftigre/status/1636499779554254851</v>
      </c>
      <c r="AF171" s="79">
        <v>45001.950532407405</v>
      </c>
      <c r="AG171" s="85">
        <v>45001</v>
      </c>
      <c r="AH171" s="82" t="s">
        <v>2928</v>
      </c>
      <c r="AI171" s="77" t="b">
        <v>0</v>
      </c>
      <c r="AJ171" s="77" t="s">
        <v>3736</v>
      </c>
      <c r="AK171" s="77" t="s">
        <v>3752</v>
      </c>
      <c r="AL171" s="77" t="s">
        <v>3755</v>
      </c>
      <c r="AM171" s="77" t="s">
        <v>3760</v>
      </c>
      <c r="AN171" s="77" t="s">
        <v>3776</v>
      </c>
      <c r="AO171" s="77" t="s">
        <v>3794</v>
      </c>
      <c r="AP171" s="77" t="s">
        <v>3808</v>
      </c>
      <c r="AQ171" s="77" t="s">
        <v>3943</v>
      </c>
      <c r="AR171" s="77"/>
      <c r="AS171" s="77"/>
      <c r="AT171" s="77"/>
      <c r="AU171" s="77"/>
      <c r="AV171" s="80" t="str">
        <f>HYPERLINK("https://pbs.twimg.com/media/FrYD3_yWwAE1zfi.jpg")</f>
        <v>https://pbs.twimg.com/media/FrYD3_yWwAE1zfi.jpg</v>
      </c>
      <c r="AW171" s="82" t="s">
        <v>4505</v>
      </c>
      <c r="AX171" s="82" t="s">
        <v>4505</v>
      </c>
      <c r="AY171" s="77"/>
      <c r="AZ171" s="82" t="s">
        <v>5615</v>
      </c>
      <c r="BA171" s="82" t="s">
        <v>5615</v>
      </c>
      <c r="BB171" s="82" t="s">
        <v>5615</v>
      </c>
      <c r="BC171" s="82" t="s">
        <v>4505</v>
      </c>
      <c r="BD171" s="82" t="s">
        <v>5899</v>
      </c>
      <c r="BE171" s="77"/>
      <c r="BF171" s="77"/>
      <c r="BG171" s="77"/>
      <c r="BH171" s="77"/>
      <c r="BI171" s="77"/>
    </row>
    <row r="172" spans="1:61" x14ac:dyDescent="0.25">
      <c r="A172" s="62" t="s">
        <v>288</v>
      </c>
      <c r="B172" s="62" t="s">
        <v>288</v>
      </c>
      <c r="C172" s="63"/>
      <c r="D172" s="64"/>
      <c r="E172" s="65"/>
      <c r="F172" s="66"/>
      <c r="G172" s="63"/>
      <c r="H172" s="67"/>
      <c r="I172" s="68"/>
      <c r="J172" s="68"/>
      <c r="K172" s="32"/>
      <c r="L172" s="75">
        <v>172</v>
      </c>
      <c r="M172" s="75"/>
      <c r="N172" s="70"/>
      <c r="O172" s="77" t="s">
        <v>179</v>
      </c>
      <c r="P172" s="79">
        <v>45001.950266203705</v>
      </c>
      <c r="Q172" s="77" t="s">
        <v>755</v>
      </c>
      <c r="R172" s="77">
        <v>0</v>
      </c>
      <c r="S172" s="77">
        <v>1</v>
      </c>
      <c r="T172" s="77">
        <v>1</v>
      </c>
      <c r="U172" s="77">
        <v>0</v>
      </c>
      <c r="V172" s="77">
        <v>20</v>
      </c>
      <c r="W172" s="82" t="s">
        <v>1654</v>
      </c>
      <c r="X172" s="77"/>
      <c r="Y172" s="77"/>
      <c r="Z172" s="77"/>
      <c r="AA172" s="77" t="s">
        <v>2318</v>
      </c>
      <c r="AB172" s="77" t="s">
        <v>2713</v>
      </c>
      <c r="AC172" s="82" t="s">
        <v>2719</v>
      </c>
      <c r="AD172" s="77" t="s">
        <v>2752</v>
      </c>
      <c r="AE172" s="80" t="str">
        <f>HYPERLINK("https://twitter.com/luiswolftigre/status/1636499680451260417")</f>
        <v>https://twitter.com/luiswolftigre/status/1636499680451260417</v>
      </c>
      <c r="AF172" s="79">
        <v>45001.950266203705</v>
      </c>
      <c r="AG172" s="85">
        <v>45001</v>
      </c>
      <c r="AH172" s="82" t="s">
        <v>2929</v>
      </c>
      <c r="AI172" s="77" t="b">
        <v>0</v>
      </c>
      <c r="AJ172" s="77" t="s">
        <v>3736</v>
      </c>
      <c r="AK172" s="77" t="s">
        <v>3752</v>
      </c>
      <c r="AL172" s="77" t="s">
        <v>3755</v>
      </c>
      <c r="AM172" s="77" t="s">
        <v>3760</v>
      </c>
      <c r="AN172" s="77" t="s">
        <v>3776</v>
      </c>
      <c r="AO172" s="77" t="s">
        <v>3794</v>
      </c>
      <c r="AP172" s="77" t="s">
        <v>3808</v>
      </c>
      <c r="AQ172" s="77" t="s">
        <v>3944</v>
      </c>
      <c r="AR172" s="77">
        <v>9473</v>
      </c>
      <c r="AS172" s="77"/>
      <c r="AT172" s="77"/>
      <c r="AU172" s="77"/>
      <c r="AV172" s="80" t="str">
        <f>HYPERLINK("https://pbs.twimg.com/ext_tw_video_thumb/1636499563065352192/pu/img/GUHPs1-Z8s-7tH0-.jpg")</f>
        <v>https://pbs.twimg.com/ext_tw_video_thumb/1636499563065352192/pu/img/GUHPs1-Z8s-7tH0-.jpg</v>
      </c>
      <c r="AW172" s="82" t="s">
        <v>4506</v>
      </c>
      <c r="AX172" s="82" t="s">
        <v>4506</v>
      </c>
      <c r="AY172" s="77"/>
      <c r="AZ172" s="82" t="s">
        <v>5615</v>
      </c>
      <c r="BA172" s="82" t="s">
        <v>5615</v>
      </c>
      <c r="BB172" s="82" t="s">
        <v>5615</v>
      </c>
      <c r="BC172" s="82" t="s">
        <v>4506</v>
      </c>
      <c r="BD172" s="82" t="s">
        <v>5899</v>
      </c>
      <c r="BE172" s="77"/>
      <c r="BF172" s="77"/>
      <c r="BG172" s="77"/>
      <c r="BH172" s="77"/>
      <c r="BI172" s="77"/>
    </row>
    <row r="173" spans="1:61" x14ac:dyDescent="0.25">
      <c r="A173" s="62" t="s">
        <v>288</v>
      </c>
      <c r="B173" s="62" t="s">
        <v>288</v>
      </c>
      <c r="C173" s="63"/>
      <c r="D173" s="64"/>
      <c r="E173" s="65"/>
      <c r="F173" s="66"/>
      <c r="G173" s="63"/>
      <c r="H173" s="67"/>
      <c r="I173" s="68"/>
      <c r="J173" s="68"/>
      <c r="K173" s="32"/>
      <c r="L173" s="75">
        <v>173</v>
      </c>
      <c r="M173" s="75"/>
      <c r="N173" s="70"/>
      <c r="O173" s="77" t="s">
        <v>179</v>
      </c>
      <c r="P173" s="79">
        <v>45000.965416666666</v>
      </c>
      <c r="Q173" s="77" t="s">
        <v>756</v>
      </c>
      <c r="R173" s="77">
        <v>0</v>
      </c>
      <c r="S173" s="77">
        <v>2</v>
      </c>
      <c r="T173" s="77">
        <v>1</v>
      </c>
      <c r="U173" s="77">
        <v>0</v>
      </c>
      <c r="V173" s="77">
        <v>35</v>
      </c>
      <c r="W173" s="82" t="s">
        <v>1633</v>
      </c>
      <c r="X173" s="77"/>
      <c r="Y173" s="77"/>
      <c r="Z173" s="77"/>
      <c r="AA173" s="77" t="s">
        <v>2319</v>
      </c>
      <c r="AB173" s="77" t="s">
        <v>2713</v>
      </c>
      <c r="AC173" s="82" t="s">
        <v>2719</v>
      </c>
      <c r="AD173" s="77" t="s">
        <v>2752</v>
      </c>
      <c r="AE173" s="80" t="str">
        <f>HYPERLINK("https://twitter.com/luiswolftigre/status/1636142782766039042")</f>
        <v>https://twitter.com/luiswolftigre/status/1636142782766039042</v>
      </c>
      <c r="AF173" s="79">
        <v>45000.965416666666</v>
      </c>
      <c r="AG173" s="85">
        <v>45000</v>
      </c>
      <c r="AH173" s="82" t="s">
        <v>2930</v>
      </c>
      <c r="AI173" s="77" t="b">
        <v>0</v>
      </c>
      <c r="AJ173" s="77" t="s">
        <v>3736</v>
      </c>
      <c r="AK173" s="77" t="s">
        <v>3752</v>
      </c>
      <c r="AL173" s="77" t="s">
        <v>3755</v>
      </c>
      <c r="AM173" s="77" t="s">
        <v>3760</v>
      </c>
      <c r="AN173" s="77" t="s">
        <v>3776</v>
      </c>
      <c r="AO173" s="77" t="s">
        <v>3794</v>
      </c>
      <c r="AP173" s="77" t="s">
        <v>3808</v>
      </c>
      <c r="AQ173" s="77" t="s">
        <v>3945</v>
      </c>
      <c r="AR173" s="77">
        <v>15905</v>
      </c>
      <c r="AS173" s="77"/>
      <c r="AT173" s="77"/>
      <c r="AU173" s="77"/>
      <c r="AV173" s="80" t="str">
        <f>HYPERLINK("https://pbs.twimg.com/ext_tw_video_thumb/1636142733420032002/pu/img/yLH50zqjAcJT2zKe.jpg")</f>
        <v>https://pbs.twimg.com/ext_tw_video_thumb/1636142733420032002/pu/img/yLH50zqjAcJT2zKe.jpg</v>
      </c>
      <c r="AW173" s="82" t="s">
        <v>4507</v>
      </c>
      <c r="AX173" s="82" t="s">
        <v>4507</v>
      </c>
      <c r="AY173" s="77"/>
      <c r="AZ173" s="82" t="s">
        <v>5615</v>
      </c>
      <c r="BA173" s="82" t="s">
        <v>5615</v>
      </c>
      <c r="BB173" s="82" t="s">
        <v>5615</v>
      </c>
      <c r="BC173" s="82" t="s">
        <v>4507</v>
      </c>
      <c r="BD173" s="82" t="s">
        <v>5899</v>
      </c>
      <c r="BE173" s="77"/>
      <c r="BF173" s="77"/>
      <c r="BG173" s="77"/>
      <c r="BH173" s="77"/>
      <c r="BI173" s="77"/>
    </row>
    <row r="174" spans="1:61" x14ac:dyDescent="0.25">
      <c r="A174" s="62" t="s">
        <v>288</v>
      </c>
      <c r="B174" s="62" t="s">
        <v>288</v>
      </c>
      <c r="C174" s="63"/>
      <c r="D174" s="64"/>
      <c r="E174" s="65"/>
      <c r="F174" s="66"/>
      <c r="G174" s="63"/>
      <c r="H174" s="67"/>
      <c r="I174" s="68"/>
      <c r="J174" s="68"/>
      <c r="K174" s="32"/>
      <c r="L174" s="75">
        <v>174</v>
      </c>
      <c r="M174" s="75"/>
      <c r="N174" s="70"/>
      <c r="O174" s="77" t="s">
        <v>179</v>
      </c>
      <c r="P174" s="79">
        <v>45104.983807870369</v>
      </c>
      <c r="Q174" s="77" t="s">
        <v>757</v>
      </c>
      <c r="R174" s="77">
        <v>0</v>
      </c>
      <c r="S174" s="77">
        <v>0</v>
      </c>
      <c r="T174" s="77">
        <v>0</v>
      </c>
      <c r="U174" s="77">
        <v>0</v>
      </c>
      <c r="V174" s="77">
        <v>31</v>
      </c>
      <c r="W174" s="82" t="s">
        <v>1642</v>
      </c>
      <c r="X174" s="77"/>
      <c r="Y174" s="77"/>
      <c r="Z174" s="77"/>
      <c r="AA174" s="77" t="s">
        <v>2320</v>
      </c>
      <c r="AB174" s="77" t="s">
        <v>2713</v>
      </c>
      <c r="AC174" s="82" t="s">
        <v>2719</v>
      </c>
      <c r="AD174" s="77" t="s">
        <v>2752</v>
      </c>
      <c r="AE174" s="80" t="str">
        <f>HYPERLINK("https://twitter.com/luiswolftigre/status/1673837788955811848")</f>
        <v>https://twitter.com/luiswolftigre/status/1673837788955811848</v>
      </c>
      <c r="AF174" s="79">
        <v>45104.983807870369</v>
      </c>
      <c r="AG174" s="85">
        <v>45104</v>
      </c>
      <c r="AH174" s="82" t="s">
        <v>2931</v>
      </c>
      <c r="AI174" s="77" t="b">
        <v>0</v>
      </c>
      <c r="AJ174" s="77" t="s">
        <v>3736</v>
      </c>
      <c r="AK174" s="77" t="s">
        <v>3752</v>
      </c>
      <c r="AL174" s="77" t="s">
        <v>3755</v>
      </c>
      <c r="AM174" s="77" t="s">
        <v>3760</v>
      </c>
      <c r="AN174" s="77" t="s">
        <v>3776</v>
      </c>
      <c r="AO174" s="77" t="s">
        <v>3794</v>
      </c>
      <c r="AP174" s="77" t="s">
        <v>3808</v>
      </c>
      <c r="AQ174" s="77" t="s">
        <v>3946</v>
      </c>
      <c r="AR174" s="77">
        <v>9705</v>
      </c>
      <c r="AS174" s="77"/>
      <c r="AT174" s="77"/>
      <c r="AU174" s="77"/>
      <c r="AV174" s="80" t="str">
        <f>HYPERLINK("https://pbs.twimg.com/ext_tw_video_thumb/1673837742801707014/pu/img/6Xo5AQZxn4FIi1-3.jpg")</f>
        <v>https://pbs.twimg.com/ext_tw_video_thumb/1673837742801707014/pu/img/6Xo5AQZxn4FIi1-3.jpg</v>
      </c>
      <c r="AW174" s="82" t="s">
        <v>4508</v>
      </c>
      <c r="AX174" s="82" t="s">
        <v>4508</v>
      </c>
      <c r="AY174" s="77"/>
      <c r="AZ174" s="82" t="s">
        <v>5615</v>
      </c>
      <c r="BA174" s="82" t="s">
        <v>5615</v>
      </c>
      <c r="BB174" s="82" t="s">
        <v>5615</v>
      </c>
      <c r="BC174" s="82" t="s">
        <v>4508</v>
      </c>
      <c r="BD174" s="82" t="s">
        <v>5899</v>
      </c>
      <c r="BE174" s="77"/>
      <c r="BF174" s="77"/>
      <c r="BG174" s="77"/>
      <c r="BH174" s="77"/>
      <c r="BI174" s="77"/>
    </row>
    <row r="175" spans="1:61" x14ac:dyDescent="0.25">
      <c r="A175" s="62" t="s">
        <v>288</v>
      </c>
      <c r="B175" s="62" t="s">
        <v>288</v>
      </c>
      <c r="C175" s="63"/>
      <c r="D175" s="64"/>
      <c r="E175" s="65"/>
      <c r="F175" s="66"/>
      <c r="G175" s="63"/>
      <c r="H175" s="67"/>
      <c r="I175" s="68"/>
      <c r="J175" s="68"/>
      <c r="K175" s="32"/>
      <c r="L175" s="75">
        <v>175</v>
      </c>
      <c r="M175" s="75"/>
      <c r="N175" s="70"/>
      <c r="O175" s="77" t="s">
        <v>179</v>
      </c>
      <c r="P175" s="79">
        <v>45096.956307870372</v>
      </c>
      <c r="Q175" s="77" t="s">
        <v>758</v>
      </c>
      <c r="R175" s="77">
        <v>0</v>
      </c>
      <c r="S175" s="77">
        <v>0</v>
      </c>
      <c r="T175" s="77">
        <v>0</v>
      </c>
      <c r="U175" s="77">
        <v>0</v>
      </c>
      <c r="V175" s="77">
        <v>26</v>
      </c>
      <c r="W175" s="82" t="s">
        <v>1637</v>
      </c>
      <c r="X175" s="77"/>
      <c r="Y175" s="77"/>
      <c r="Z175" s="77"/>
      <c r="AA175" s="77" t="s">
        <v>2321</v>
      </c>
      <c r="AB175" s="77" t="s">
        <v>2713</v>
      </c>
      <c r="AC175" s="82" t="s">
        <v>2719</v>
      </c>
      <c r="AD175" s="77" t="s">
        <v>2752</v>
      </c>
      <c r="AE175" s="80" t="str">
        <f>HYPERLINK("https://twitter.com/luiswolftigre/status/1670928718229909509")</f>
        <v>https://twitter.com/luiswolftigre/status/1670928718229909509</v>
      </c>
      <c r="AF175" s="79">
        <v>45096.956307870372</v>
      </c>
      <c r="AG175" s="85">
        <v>45096</v>
      </c>
      <c r="AH175" s="82" t="s">
        <v>2932</v>
      </c>
      <c r="AI175" s="77" t="b">
        <v>0</v>
      </c>
      <c r="AJ175" s="77" t="s">
        <v>3736</v>
      </c>
      <c r="AK175" s="77" t="s">
        <v>3752</v>
      </c>
      <c r="AL175" s="77" t="s">
        <v>3755</v>
      </c>
      <c r="AM175" s="77" t="s">
        <v>3760</v>
      </c>
      <c r="AN175" s="77" t="s">
        <v>3776</v>
      </c>
      <c r="AO175" s="77" t="s">
        <v>3794</v>
      </c>
      <c r="AP175" s="77" t="s">
        <v>3808</v>
      </c>
      <c r="AQ175" s="77" t="s">
        <v>3947</v>
      </c>
      <c r="AR175" s="77">
        <v>8707</v>
      </c>
      <c r="AS175" s="77"/>
      <c r="AT175" s="77"/>
      <c r="AU175" s="77"/>
      <c r="AV175" s="80" t="str">
        <f>HYPERLINK("https://pbs.twimg.com/ext_tw_video_thumb/1670928671220154373/pu/img/Xrlz6UrDvDMZx9XE.jpg")</f>
        <v>https://pbs.twimg.com/ext_tw_video_thumb/1670928671220154373/pu/img/Xrlz6UrDvDMZx9XE.jpg</v>
      </c>
      <c r="AW175" s="82" t="s">
        <v>4509</v>
      </c>
      <c r="AX175" s="82" t="s">
        <v>4509</v>
      </c>
      <c r="AY175" s="77"/>
      <c r="AZ175" s="82" t="s">
        <v>5615</v>
      </c>
      <c r="BA175" s="82" t="s">
        <v>5615</v>
      </c>
      <c r="BB175" s="82" t="s">
        <v>5615</v>
      </c>
      <c r="BC175" s="82" t="s">
        <v>4509</v>
      </c>
      <c r="BD175" s="82" t="s">
        <v>5899</v>
      </c>
      <c r="BE175" s="77"/>
      <c r="BF175" s="77"/>
      <c r="BG175" s="77"/>
      <c r="BH175" s="77"/>
      <c r="BI175" s="77"/>
    </row>
    <row r="176" spans="1:61" x14ac:dyDescent="0.25">
      <c r="A176" s="62" t="s">
        <v>288</v>
      </c>
      <c r="B176" s="62" t="s">
        <v>288</v>
      </c>
      <c r="C176" s="63"/>
      <c r="D176" s="64"/>
      <c r="E176" s="65"/>
      <c r="F176" s="66"/>
      <c r="G176" s="63"/>
      <c r="H176" s="67"/>
      <c r="I176" s="68"/>
      <c r="J176" s="68"/>
      <c r="K176" s="32"/>
      <c r="L176" s="75">
        <v>176</v>
      </c>
      <c r="M176" s="75"/>
      <c r="N176" s="70"/>
      <c r="O176" s="77" t="s">
        <v>179</v>
      </c>
      <c r="P176" s="79">
        <v>45095.835138888891</v>
      </c>
      <c r="Q176" s="77" t="s">
        <v>759</v>
      </c>
      <c r="R176" s="77">
        <v>0</v>
      </c>
      <c r="S176" s="77">
        <v>0</v>
      </c>
      <c r="T176" s="77">
        <v>0</v>
      </c>
      <c r="U176" s="77">
        <v>0</v>
      </c>
      <c r="V176" s="77">
        <v>30</v>
      </c>
      <c r="W176" s="82" t="s">
        <v>1637</v>
      </c>
      <c r="X176" s="77"/>
      <c r="Y176" s="77"/>
      <c r="Z176" s="77"/>
      <c r="AA176" s="77" t="s">
        <v>2322</v>
      </c>
      <c r="AB176" s="77" t="s">
        <v>2713</v>
      </c>
      <c r="AC176" s="82" t="s">
        <v>2719</v>
      </c>
      <c r="AD176" s="77" t="s">
        <v>2752</v>
      </c>
      <c r="AE176" s="80" t="str">
        <f>HYPERLINK("https://twitter.com/luiswolftigre/status/1670522422330523648")</f>
        <v>https://twitter.com/luiswolftigre/status/1670522422330523648</v>
      </c>
      <c r="AF176" s="79">
        <v>45095.835138888891</v>
      </c>
      <c r="AG176" s="85">
        <v>45095</v>
      </c>
      <c r="AH176" s="82" t="s">
        <v>2933</v>
      </c>
      <c r="AI176" s="77" t="b">
        <v>0</v>
      </c>
      <c r="AJ176" s="77" t="s">
        <v>3736</v>
      </c>
      <c r="AK176" s="77" t="s">
        <v>3752</v>
      </c>
      <c r="AL176" s="77" t="s">
        <v>3755</v>
      </c>
      <c r="AM176" s="77" t="s">
        <v>3760</v>
      </c>
      <c r="AN176" s="77" t="s">
        <v>3776</v>
      </c>
      <c r="AO176" s="77" t="s">
        <v>3794</v>
      </c>
      <c r="AP176" s="77" t="s">
        <v>3808</v>
      </c>
      <c r="AQ176" s="77" t="s">
        <v>3948</v>
      </c>
      <c r="AR176" s="77">
        <v>10286</v>
      </c>
      <c r="AS176" s="77"/>
      <c r="AT176" s="77"/>
      <c r="AU176" s="77"/>
      <c r="AV176" s="80" t="str">
        <f>HYPERLINK("https://pbs.twimg.com/ext_tw_video_thumb/1670522380874137600/pu/img/dahWwvfJgA4v8Om4.jpg")</f>
        <v>https://pbs.twimg.com/ext_tw_video_thumb/1670522380874137600/pu/img/dahWwvfJgA4v8Om4.jpg</v>
      </c>
      <c r="AW176" s="82" t="s">
        <v>4510</v>
      </c>
      <c r="AX176" s="82" t="s">
        <v>4510</v>
      </c>
      <c r="AY176" s="77"/>
      <c r="AZ176" s="82" t="s">
        <v>5615</v>
      </c>
      <c r="BA176" s="82" t="s">
        <v>5615</v>
      </c>
      <c r="BB176" s="82" t="s">
        <v>5615</v>
      </c>
      <c r="BC176" s="82" t="s">
        <v>4510</v>
      </c>
      <c r="BD176" s="82" t="s">
        <v>5899</v>
      </c>
      <c r="BE176" s="77"/>
      <c r="BF176" s="77"/>
      <c r="BG176" s="77"/>
      <c r="BH176" s="77"/>
      <c r="BI176" s="77"/>
    </row>
    <row r="177" spans="1:61" x14ac:dyDescent="0.25">
      <c r="A177" s="62" t="s">
        <v>288</v>
      </c>
      <c r="B177" s="62" t="s">
        <v>288</v>
      </c>
      <c r="C177" s="63"/>
      <c r="D177" s="64"/>
      <c r="E177" s="65"/>
      <c r="F177" s="66"/>
      <c r="G177" s="63"/>
      <c r="H177" s="67"/>
      <c r="I177" s="68"/>
      <c r="J177" s="68"/>
      <c r="K177" s="32"/>
      <c r="L177" s="75">
        <v>177</v>
      </c>
      <c r="M177" s="75"/>
      <c r="N177" s="70"/>
      <c r="O177" s="77" t="s">
        <v>179</v>
      </c>
      <c r="P177" s="79">
        <v>45095.058969907404</v>
      </c>
      <c r="Q177" s="77" t="s">
        <v>760</v>
      </c>
      <c r="R177" s="77">
        <v>0</v>
      </c>
      <c r="S177" s="77">
        <v>0</v>
      </c>
      <c r="T177" s="77">
        <v>0</v>
      </c>
      <c r="U177" s="77">
        <v>0</v>
      </c>
      <c r="V177" s="77">
        <v>42</v>
      </c>
      <c r="W177" s="82" t="s">
        <v>1637</v>
      </c>
      <c r="X177" s="77"/>
      <c r="Y177" s="77"/>
      <c r="Z177" s="77"/>
      <c r="AA177" s="77" t="s">
        <v>2323</v>
      </c>
      <c r="AB177" s="77" t="s">
        <v>2713</v>
      </c>
      <c r="AC177" s="82" t="s">
        <v>2719</v>
      </c>
      <c r="AD177" s="77" t="s">
        <v>2752</v>
      </c>
      <c r="AE177" s="80" t="str">
        <f>HYPERLINK("https://twitter.com/luiswolftigre/status/1670241144259637252")</f>
        <v>https://twitter.com/luiswolftigre/status/1670241144259637252</v>
      </c>
      <c r="AF177" s="79">
        <v>45095.058969907404</v>
      </c>
      <c r="AG177" s="85">
        <v>45095</v>
      </c>
      <c r="AH177" s="82" t="s">
        <v>2934</v>
      </c>
      <c r="AI177" s="77" t="b">
        <v>0</v>
      </c>
      <c r="AJ177" s="77" t="s">
        <v>3736</v>
      </c>
      <c r="AK177" s="77" t="s">
        <v>3752</v>
      </c>
      <c r="AL177" s="77" t="s">
        <v>3755</v>
      </c>
      <c r="AM177" s="77" t="s">
        <v>3760</v>
      </c>
      <c r="AN177" s="77" t="s">
        <v>3776</v>
      </c>
      <c r="AO177" s="77" t="s">
        <v>3794</v>
      </c>
      <c r="AP177" s="77" t="s">
        <v>3808</v>
      </c>
      <c r="AQ177" s="77" t="s">
        <v>3949</v>
      </c>
      <c r="AR177" s="77">
        <v>12073</v>
      </c>
      <c r="AS177" s="77"/>
      <c r="AT177" s="77"/>
      <c r="AU177" s="77"/>
      <c r="AV177" s="80" t="str">
        <f>HYPERLINK("https://pbs.twimg.com/ext_tw_video_thumb/1670241105797890048/pu/img/l6nHCKzvAGA127Vy.jpg")</f>
        <v>https://pbs.twimg.com/ext_tw_video_thumb/1670241105797890048/pu/img/l6nHCKzvAGA127Vy.jpg</v>
      </c>
      <c r="AW177" s="82" t="s">
        <v>4511</v>
      </c>
      <c r="AX177" s="82" t="s">
        <v>4511</v>
      </c>
      <c r="AY177" s="77"/>
      <c r="AZ177" s="82" t="s">
        <v>5615</v>
      </c>
      <c r="BA177" s="82" t="s">
        <v>5615</v>
      </c>
      <c r="BB177" s="82" t="s">
        <v>5615</v>
      </c>
      <c r="BC177" s="82" t="s">
        <v>4511</v>
      </c>
      <c r="BD177" s="82" t="s">
        <v>5899</v>
      </c>
      <c r="BE177" s="77"/>
      <c r="BF177" s="77"/>
      <c r="BG177" s="77"/>
      <c r="BH177" s="77"/>
      <c r="BI177" s="77"/>
    </row>
    <row r="178" spans="1:61" x14ac:dyDescent="0.25">
      <c r="A178" s="62" t="s">
        <v>288</v>
      </c>
      <c r="B178" s="62" t="s">
        <v>288</v>
      </c>
      <c r="C178" s="63"/>
      <c r="D178" s="64"/>
      <c r="E178" s="65"/>
      <c r="F178" s="66"/>
      <c r="G178" s="63"/>
      <c r="H178" s="67"/>
      <c r="I178" s="68"/>
      <c r="J178" s="68"/>
      <c r="K178" s="32"/>
      <c r="L178" s="75">
        <v>178</v>
      </c>
      <c r="M178" s="75"/>
      <c r="N178" s="70"/>
      <c r="O178" s="77" t="s">
        <v>179</v>
      </c>
      <c r="P178" s="79">
        <v>45093.937928240739</v>
      </c>
      <c r="Q178" s="77" t="s">
        <v>761</v>
      </c>
      <c r="R178" s="77">
        <v>0</v>
      </c>
      <c r="S178" s="77">
        <v>1</v>
      </c>
      <c r="T178" s="77">
        <v>0</v>
      </c>
      <c r="U178" s="77">
        <v>0</v>
      </c>
      <c r="V178" s="77">
        <v>15</v>
      </c>
      <c r="W178" s="82" t="s">
        <v>1637</v>
      </c>
      <c r="X178" s="77"/>
      <c r="Y178" s="77"/>
      <c r="Z178" s="77"/>
      <c r="AA178" s="77" t="s">
        <v>2324</v>
      </c>
      <c r="AB178" s="77" t="s">
        <v>2713</v>
      </c>
      <c r="AC178" s="82" t="s">
        <v>2719</v>
      </c>
      <c r="AD178" s="77" t="s">
        <v>2755</v>
      </c>
      <c r="AE178" s="80" t="str">
        <f>HYPERLINK("https://twitter.com/luiswolftigre/status/1669834894619422725")</f>
        <v>https://twitter.com/luiswolftigre/status/1669834894619422725</v>
      </c>
      <c r="AF178" s="79">
        <v>45093.937928240739</v>
      </c>
      <c r="AG178" s="85">
        <v>45093</v>
      </c>
      <c r="AH178" s="82" t="s">
        <v>2935</v>
      </c>
      <c r="AI178" s="77" t="b">
        <v>0</v>
      </c>
      <c r="AJ178" s="77" t="s">
        <v>3736</v>
      </c>
      <c r="AK178" s="77" t="s">
        <v>3752</v>
      </c>
      <c r="AL178" s="77" t="s">
        <v>3755</v>
      </c>
      <c r="AM178" s="77" t="s">
        <v>3760</v>
      </c>
      <c r="AN178" s="77" t="s">
        <v>3776</v>
      </c>
      <c r="AO178" s="77" t="s">
        <v>3794</v>
      </c>
      <c r="AP178" s="77" t="s">
        <v>3808</v>
      </c>
      <c r="AQ178" s="77" t="s">
        <v>3950</v>
      </c>
      <c r="AR178" s="77">
        <v>5433</v>
      </c>
      <c r="AS178" s="77"/>
      <c r="AT178" s="77"/>
      <c r="AU178" s="77"/>
      <c r="AV178" s="80" t="str">
        <f>HYPERLINK("https://pbs.twimg.com/ext_tw_video_thumb/1669834809474969600/pu/img/CB8eoUu0vWrVwOAG.jpg")</f>
        <v>https://pbs.twimg.com/ext_tw_video_thumb/1669834809474969600/pu/img/CB8eoUu0vWrVwOAG.jpg</v>
      </c>
      <c r="AW178" s="82" t="s">
        <v>4512</v>
      </c>
      <c r="AX178" s="82" t="s">
        <v>4512</v>
      </c>
      <c r="AY178" s="77"/>
      <c r="AZ178" s="82" t="s">
        <v>5615</v>
      </c>
      <c r="BA178" s="82" t="s">
        <v>5615</v>
      </c>
      <c r="BB178" s="82" t="s">
        <v>5615</v>
      </c>
      <c r="BC178" s="82" t="s">
        <v>4512</v>
      </c>
      <c r="BD178" s="82" t="s">
        <v>5899</v>
      </c>
      <c r="BE178" s="77"/>
      <c r="BF178" s="77"/>
      <c r="BG178" s="77"/>
      <c r="BH178" s="77"/>
      <c r="BI178" s="77"/>
    </row>
    <row r="179" spans="1:61" x14ac:dyDescent="0.25">
      <c r="A179" s="62" t="s">
        <v>288</v>
      </c>
      <c r="B179" s="62" t="s">
        <v>288</v>
      </c>
      <c r="C179" s="63"/>
      <c r="D179" s="64"/>
      <c r="E179" s="65"/>
      <c r="F179" s="66"/>
      <c r="G179" s="63"/>
      <c r="H179" s="67"/>
      <c r="I179" s="68"/>
      <c r="J179" s="68"/>
      <c r="K179" s="32"/>
      <c r="L179" s="75">
        <v>179</v>
      </c>
      <c r="M179" s="75"/>
      <c r="N179" s="70"/>
      <c r="O179" s="77" t="s">
        <v>179</v>
      </c>
      <c r="P179" s="79">
        <v>45092.923541666663</v>
      </c>
      <c r="Q179" s="77" t="s">
        <v>762</v>
      </c>
      <c r="R179" s="77">
        <v>0</v>
      </c>
      <c r="S179" s="77">
        <v>0</v>
      </c>
      <c r="T179" s="77">
        <v>0</v>
      </c>
      <c r="U179" s="77">
        <v>0</v>
      </c>
      <c r="V179" s="77">
        <v>37</v>
      </c>
      <c r="W179" s="82" t="s">
        <v>1637</v>
      </c>
      <c r="X179" s="77"/>
      <c r="Y179" s="77"/>
      <c r="Z179" s="77"/>
      <c r="AA179" s="77" t="s">
        <v>2325</v>
      </c>
      <c r="AB179" s="77" t="s">
        <v>2713</v>
      </c>
      <c r="AC179" s="82" t="s">
        <v>2719</v>
      </c>
      <c r="AD179" s="77" t="s">
        <v>2752</v>
      </c>
      <c r="AE179" s="80" t="str">
        <f>HYPERLINK("https://twitter.com/luiswolftigre/status/1669467292436922368")</f>
        <v>https://twitter.com/luiswolftigre/status/1669467292436922368</v>
      </c>
      <c r="AF179" s="79">
        <v>45092.923541666663</v>
      </c>
      <c r="AG179" s="85">
        <v>45092</v>
      </c>
      <c r="AH179" s="82" t="s">
        <v>2936</v>
      </c>
      <c r="AI179" s="77" t="b">
        <v>0</v>
      </c>
      <c r="AJ179" s="77" t="s">
        <v>3736</v>
      </c>
      <c r="AK179" s="77" t="s">
        <v>3752</v>
      </c>
      <c r="AL179" s="77" t="s">
        <v>3755</v>
      </c>
      <c r="AM179" s="77" t="s">
        <v>3760</v>
      </c>
      <c r="AN179" s="77" t="s">
        <v>3776</v>
      </c>
      <c r="AO179" s="77" t="s">
        <v>3794</v>
      </c>
      <c r="AP179" s="77" t="s">
        <v>3808</v>
      </c>
      <c r="AQ179" s="77" t="s">
        <v>3951</v>
      </c>
      <c r="AR179" s="77">
        <v>13002</v>
      </c>
      <c r="AS179" s="77"/>
      <c r="AT179" s="77"/>
      <c r="AU179" s="77"/>
      <c r="AV179" s="80" t="str">
        <f>HYPERLINK("https://pbs.twimg.com/ext_tw_video_thumb/1669467236891869184/pu/img/N4C3V5n3y9R_o8va.jpg")</f>
        <v>https://pbs.twimg.com/ext_tw_video_thumb/1669467236891869184/pu/img/N4C3V5n3y9R_o8va.jpg</v>
      </c>
      <c r="AW179" s="82" t="s">
        <v>4513</v>
      </c>
      <c r="AX179" s="82" t="s">
        <v>4513</v>
      </c>
      <c r="AY179" s="77"/>
      <c r="AZ179" s="82" t="s">
        <v>5615</v>
      </c>
      <c r="BA179" s="82" t="s">
        <v>5615</v>
      </c>
      <c r="BB179" s="82" t="s">
        <v>5615</v>
      </c>
      <c r="BC179" s="82" t="s">
        <v>4513</v>
      </c>
      <c r="BD179" s="82" t="s">
        <v>5899</v>
      </c>
      <c r="BE179" s="77"/>
      <c r="BF179" s="77"/>
      <c r="BG179" s="77"/>
      <c r="BH179" s="77"/>
      <c r="BI179" s="77"/>
    </row>
    <row r="180" spans="1:61" x14ac:dyDescent="0.25">
      <c r="A180" s="62" t="s">
        <v>288</v>
      </c>
      <c r="B180" s="62" t="s">
        <v>288</v>
      </c>
      <c r="C180" s="63"/>
      <c r="D180" s="64"/>
      <c r="E180" s="65"/>
      <c r="F180" s="66"/>
      <c r="G180" s="63"/>
      <c r="H180" s="67"/>
      <c r="I180" s="68"/>
      <c r="J180" s="68"/>
      <c r="K180" s="32"/>
      <c r="L180" s="75">
        <v>180</v>
      </c>
      <c r="M180" s="75"/>
      <c r="N180" s="70"/>
      <c r="O180" s="77" t="s">
        <v>179</v>
      </c>
      <c r="P180" s="79">
        <v>45091.912361111114</v>
      </c>
      <c r="Q180" s="77" t="s">
        <v>763</v>
      </c>
      <c r="R180" s="77">
        <v>0</v>
      </c>
      <c r="S180" s="77">
        <v>1</v>
      </c>
      <c r="T180" s="77">
        <v>0</v>
      </c>
      <c r="U180" s="77">
        <v>0</v>
      </c>
      <c r="V180" s="77">
        <v>23</v>
      </c>
      <c r="W180" s="82" t="s">
        <v>1637</v>
      </c>
      <c r="X180" s="77"/>
      <c r="Y180" s="77"/>
      <c r="Z180" s="77"/>
      <c r="AA180" s="77" t="s">
        <v>2326</v>
      </c>
      <c r="AB180" s="77" t="s">
        <v>2713</v>
      </c>
      <c r="AC180" s="82" t="s">
        <v>2719</v>
      </c>
      <c r="AD180" s="77" t="s">
        <v>2755</v>
      </c>
      <c r="AE180" s="80" t="str">
        <f>HYPERLINK("https://twitter.com/luiswolftigre/status/1669100853708443650")</f>
        <v>https://twitter.com/luiswolftigre/status/1669100853708443650</v>
      </c>
      <c r="AF180" s="79">
        <v>45091.912361111114</v>
      </c>
      <c r="AG180" s="85">
        <v>45091</v>
      </c>
      <c r="AH180" s="82" t="s">
        <v>2937</v>
      </c>
      <c r="AI180" s="77" t="b">
        <v>0</v>
      </c>
      <c r="AJ180" s="77" t="s">
        <v>3736</v>
      </c>
      <c r="AK180" s="77" t="s">
        <v>3752</v>
      </c>
      <c r="AL180" s="77" t="s">
        <v>3755</v>
      </c>
      <c r="AM180" s="77" t="s">
        <v>3760</v>
      </c>
      <c r="AN180" s="77" t="s">
        <v>3776</v>
      </c>
      <c r="AO180" s="77" t="s">
        <v>3794</v>
      </c>
      <c r="AP180" s="77" t="s">
        <v>3808</v>
      </c>
      <c r="AQ180" s="77" t="s">
        <v>3952</v>
      </c>
      <c r="AR180" s="77">
        <v>10448</v>
      </c>
      <c r="AS180" s="77"/>
      <c r="AT180" s="77"/>
      <c r="AU180" s="77"/>
      <c r="AV180" s="80" t="str">
        <f>HYPERLINK("https://pbs.twimg.com/ext_tw_video_thumb/1669100795839561728/pu/img/KfpgmtpGU-_FRQVs.jpg")</f>
        <v>https://pbs.twimg.com/ext_tw_video_thumb/1669100795839561728/pu/img/KfpgmtpGU-_FRQVs.jpg</v>
      </c>
      <c r="AW180" s="82" t="s">
        <v>4514</v>
      </c>
      <c r="AX180" s="82" t="s">
        <v>4514</v>
      </c>
      <c r="AY180" s="77"/>
      <c r="AZ180" s="82" t="s">
        <v>5615</v>
      </c>
      <c r="BA180" s="82" t="s">
        <v>5615</v>
      </c>
      <c r="BB180" s="82" t="s">
        <v>5615</v>
      </c>
      <c r="BC180" s="82" t="s">
        <v>4514</v>
      </c>
      <c r="BD180" s="82" t="s">
        <v>5899</v>
      </c>
      <c r="BE180" s="77"/>
      <c r="BF180" s="77"/>
      <c r="BG180" s="77"/>
      <c r="BH180" s="77"/>
      <c r="BI180" s="77"/>
    </row>
    <row r="181" spans="1:61" x14ac:dyDescent="0.25">
      <c r="A181" s="62" t="s">
        <v>288</v>
      </c>
      <c r="B181" s="62" t="s">
        <v>288</v>
      </c>
      <c r="C181" s="63"/>
      <c r="D181" s="64"/>
      <c r="E181" s="65"/>
      <c r="F181" s="66"/>
      <c r="G181" s="63"/>
      <c r="H181" s="67"/>
      <c r="I181" s="68"/>
      <c r="J181" s="68"/>
      <c r="K181" s="32"/>
      <c r="L181" s="75">
        <v>181</v>
      </c>
      <c r="M181" s="75"/>
      <c r="N181" s="70"/>
      <c r="O181" s="77" t="s">
        <v>179</v>
      </c>
      <c r="P181" s="79">
        <v>45084.916712962964</v>
      </c>
      <c r="Q181" s="77" t="s">
        <v>764</v>
      </c>
      <c r="R181" s="77">
        <v>0</v>
      </c>
      <c r="S181" s="77">
        <v>0</v>
      </c>
      <c r="T181" s="77">
        <v>0</v>
      </c>
      <c r="U181" s="77">
        <v>0</v>
      </c>
      <c r="V181" s="77">
        <v>12</v>
      </c>
      <c r="W181" s="82" t="s">
        <v>1637</v>
      </c>
      <c r="X181" s="77"/>
      <c r="Y181" s="77"/>
      <c r="Z181" s="77"/>
      <c r="AA181" s="77" t="s">
        <v>2327</v>
      </c>
      <c r="AB181" s="77" t="s">
        <v>2713</v>
      </c>
      <c r="AC181" s="82" t="s">
        <v>2719</v>
      </c>
      <c r="AD181" s="77" t="s">
        <v>2755</v>
      </c>
      <c r="AE181" s="80" t="str">
        <f>HYPERLINK("https://twitter.com/luiswolftigre/status/1666565714747031552")</f>
        <v>https://twitter.com/luiswolftigre/status/1666565714747031552</v>
      </c>
      <c r="AF181" s="79">
        <v>45084.916712962964</v>
      </c>
      <c r="AG181" s="85">
        <v>45084</v>
      </c>
      <c r="AH181" s="82" t="s">
        <v>2938</v>
      </c>
      <c r="AI181" s="77" t="b">
        <v>0</v>
      </c>
      <c r="AJ181" s="77" t="s">
        <v>3736</v>
      </c>
      <c r="AK181" s="77" t="s">
        <v>3752</v>
      </c>
      <c r="AL181" s="77" t="s">
        <v>3755</v>
      </c>
      <c r="AM181" s="77" t="s">
        <v>3760</v>
      </c>
      <c r="AN181" s="77" t="s">
        <v>3776</v>
      </c>
      <c r="AO181" s="77" t="s">
        <v>3794</v>
      </c>
      <c r="AP181" s="77" t="s">
        <v>3808</v>
      </c>
      <c r="AQ181" s="77" t="s">
        <v>3953</v>
      </c>
      <c r="AR181" s="77">
        <v>9171</v>
      </c>
      <c r="AS181" s="77"/>
      <c r="AT181" s="77"/>
      <c r="AU181" s="77"/>
      <c r="AV181" s="80" t="str">
        <f>HYPERLINK("https://pbs.twimg.com/ext_tw_video_thumb/1666565564343410688/pu/img/l7MhV9SFV3gsZNpF.jpg")</f>
        <v>https://pbs.twimg.com/ext_tw_video_thumb/1666565564343410688/pu/img/l7MhV9SFV3gsZNpF.jpg</v>
      </c>
      <c r="AW181" s="82" t="s">
        <v>4515</v>
      </c>
      <c r="AX181" s="82" t="s">
        <v>4515</v>
      </c>
      <c r="AY181" s="77"/>
      <c r="AZ181" s="82" t="s">
        <v>5615</v>
      </c>
      <c r="BA181" s="82" t="s">
        <v>5615</v>
      </c>
      <c r="BB181" s="82" t="s">
        <v>5615</v>
      </c>
      <c r="BC181" s="82" t="s">
        <v>4515</v>
      </c>
      <c r="BD181" s="82" t="s">
        <v>5899</v>
      </c>
      <c r="BE181" s="77"/>
      <c r="BF181" s="77"/>
      <c r="BG181" s="77"/>
      <c r="BH181" s="77"/>
      <c r="BI181" s="77"/>
    </row>
    <row r="182" spans="1:61" x14ac:dyDescent="0.25">
      <c r="A182" s="62" t="s">
        <v>288</v>
      </c>
      <c r="B182" s="62" t="s">
        <v>288</v>
      </c>
      <c r="C182" s="63"/>
      <c r="D182" s="64"/>
      <c r="E182" s="65"/>
      <c r="F182" s="66"/>
      <c r="G182" s="63"/>
      <c r="H182" s="67"/>
      <c r="I182" s="68"/>
      <c r="J182" s="68"/>
      <c r="K182" s="32"/>
      <c r="L182" s="75">
        <v>182</v>
      </c>
      <c r="M182" s="75"/>
      <c r="N182" s="70"/>
      <c r="O182" s="77" t="s">
        <v>179</v>
      </c>
      <c r="P182" s="79">
        <v>45083.934537037036</v>
      </c>
      <c r="Q182" s="77" t="s">
        <v>765</v>
      </c>
      <c r="R182" s="77">
        <v>0</v>
      </c>
      <c r="S182" s="77">
        <v>0</v>
      </c>
      <c r="T182" s="77">
        <v>0</v>
      </c>
      <c r="U182" s="77">
        <v>0</v>
      </c>
      <c r="V182" s="77">
        <v>16</v>
      </c>
      <c r="W182" s="82" t="s">
        <v>1637</v>
      </c>
      <c r="X182" s="77"/>
      <c r="Y182" s="77"/>
      <c r="Z182" s="77"/>
      <c r="AA182" s="77" t="s">
        <v>2328</v>
      </c>
      <c r="AB182" s="77" t="s">
        <v>2713</v>
      </c>
      <c r="AC182" s="82" t="s">
        <v>2719</v>
      </c>
      <c r="AD182" s="77" t="s">
        <v>2755</v>
      </c>
      <c r="AE182" s="80" t="str">
        <f>HYPERLINK("https://twitter.com/luiswolftigre/status/1666209786898071557")</f>
        <v>https://twitter.com/luiswolftigre/status/1666209786898071557</v>
      </c>
      <c r="AF182" s="79">
        <v>45083.934537037036</v>
      </c>
      <c r="AG182" s="85">
        <v>45083</v>
      </c>
      <c r="AH182" s="82" t="s">
        <v>2939</v>
      </c>
      <c r="AI182" s="77" t="b">
        <v>0</v>
      </c>
      <c r="AJ182" s="77" t="s">
        <v>3736</v>
      </c>
      <c r="AK182" s="77" t="s">
        <v>3752</v>
      </c>
      <c r="AL182" s="77" t="s">
        <v>3755</v>
      </c>
      <c r="AM182" s="77" t="s">
        <v>3760</v>
      </c>
      <c r="AN182" s="77" t="s">
        <v>3776</v>
      </c>
      <c r="AO182" s="77" t="s">
        <v>3794</v>
      </c>
      <c r="AP182" s="77" t="s">
        <v>3808</v>
      </c>
      <c r="AQ182" s="77" t="s">
        <v>3954</v>
      </c>
      <c r="AR182" s="77">
        <v>9751</v>
      </c>
      <c r="AS182" s="77"/>
      <c r="AT182" s="77"/>
      <c r="AU182" s="77"/>
      <c r="AV182" s="80" t="str">
        <f>HYPERLINK("https://pbs.twimg.com/ext_tw_video_thumb/1666209729675157511/pu/img/5EUH87hgjpgHnfbh.jpg")</f>
        <v>https://pbs.twimg.com/ext_tw_video_thumb/1666209729675157511/pu/img/5EUH87hgjpgHnfbh.jpg</v>
      </c>
      <c r="AW182" s="82" t="s">
        <v>4516</v>
      </c>
      <c r="AX182" s="82" t="s">
        <v>4516</v>
      </c>
      <c r="AY182" s="77"/>
      <c r="AZ182" s="82" t="s">
        <v>5615</v>
      </c>
      <c r="BA182" s="82" t="s">
        <v>5615</v>
      </c>
      <c r="BB182" s="82" t="s">
        <v>5615</v>
      </c>
      <c r="BC182" s="82" t="s">
        <v>4516</v>
      </c>
      <c r="BD182" s="82" t="s">
        <v>5899</v>
      </c>
      <c r="BE182" s="77"/>
      <c r="BF182" s="77"/>
      <c r="BG182" s="77"/>
      <c r="BH182" s="77"/>
      <c r="BI182" s="77"/>
    </row>
    <row r="183" spans="1:61" x14ac:dyDescent="0.25">
      <c r="A183" s="62" t="s">
        <v>288</v>
      </c>
      <c r="B183" s="62" t="s">
        <v>288</v>
      </c>
      <c r="C183" s="63"/>
      <c r="D183" s="64"/>
      <c r="E183" s="65"/>
      <c r="F183" s="66"/>
      <c r="G183" s="63"/>
      <c r="H183" s="67"/>
      <c r="I183" s="68"/>
      <c r="J183" s="68"/>
      <c r="K183" s="32"/>
      <c r="L183" s="75">
        <v>183</v>
      </c>
      <c r="M183" s="75"/>
      <c r="N183" s="70"/>
      <c r="O183" s="77" t="s">
        <v>179</v>
      </c>
      <c r="P183" s="79">
        <v>45081.772175925929</v>
      </c>
      <c r="Q183" s="77" t="s">
        <v>766</v>
      </c>
      <c r="R183" s="77">
        <v>0</v>
      </c>
      <c r="S183" s="77">
        <v>0</v>
      </c>
      <c r="T183" s="77">
        <v>0</v>
      </c>
      <c r="U183" s="77">
        <v>0</v>
      </c>
      <c r="V183" s="77">
        <v>8</v>
      </c>
      <c r="W183" s="82" t="s">
        <v>1637</v>
      </c>
      <c r="X183" s="77"/>
      <c r="Y183" s="77"/>
      <c r="Z183" s="77"/>
      <c r="AA183" s="77" t="s">
        <v>2329</v>
      </c>
      <c r="AB183" s="77" t="s">
        <v>2713</v>
      </c>
      <c r="AC183" s="82" t="s">
        <v>2719</v>
      </c>
      <c r="AD183" s="77" t="s">
        <v>2755</v>
      </c>
      <c r="AE183" s="80" t="str">
        <f>HYPERLINK("https://twitter.com/luiswolftigre/status/1665426174779052032")</f>
        <v>https://twitter.com/luiswolftigre/status/1665426174779052032</v>
      </c>
      <c r="AF183" s="79">
        <v>45081.772175925929</v>
      </c>
      <c r="AG183" s="85">
        <v>45081</v>
      </c>
      <c r="AH183" s="82" t="s">
        <v>2940</v>
      </c>
      <c r="AI183" s="77" t="b">
        <v>0</v>
      </c>
      <c r="AJ183" s="77" t="s">
        <v>3736</v>
      </c>
      <c r="AK183" s="77" t="s">
        <v>3752</v>
      </c>
      <c r="AL183" s="77" t="s">
        <v>3755</v>
      </c>
      <c r="AM183" s="77" t="s">
        <v>3760</v>
      </c>
      <c r="AN183" s="77" t="s">
        <v>3776</v>
      </c>
      <c r="AO183" s="77" t="s">
        <v>3794</v>
      </c>
      <c r="AP183" s="77" t="s">
        <v>3808</v>
      </c>
      <c r="AQ183" s="77" t="s">
        <v>3955</v>
      </c>
      <c r="AR183" s="77">
        <v>11702</v>
      </c>
      <c r="AS183" s="77"/>
      <c r="AT183" s="77"/>
      <c r="AU183" s="77"/>
      <c r="AV183" s="80" t="str">
        <f>HYPERLINK("https://pbs.twimg.com/ext_tw_video_thumb/1665426115970625537/pu/img/zilPuxvSYbLdGjrK.jpg")</f>
        <v>https://pbs.twimg.com/ext_tw_video_thumb/1665426115970625537/pu/img/zilPuxvSYbLdGjrK.jpg</v>
      </c>
      <c r="AW183" s="82" t="s">
        <v>4517</v>
      </c>
      <c r="AX183" s="82" t="s">
        <v>4517</v>
      </c>
      <c r="AY183" s="77"/>
      <c r="AZ183" s="82" t="s">
        <v>5615</v>
      </c>
      <c r="BA183" s="82" t="s">
        <v>5615</v>
      </c>
      <c r="BB183" s="82" t="s">
        <v>5615</v>
      </c>
      <c r="BC183" s="82" t="s">
        <v>4517</v>
      </c>
      <c r="BD183" s="82" t="s">
        <v>5899</v>
      </c>
      <c r="BE183" s="77"/>
      <c r="BF183" s="77"/>
      <c r="BG183" s="77"/>
      <c r="BH183" s="77"/>
      <c r="BI183" s="77"/>
    </row>
    <row r="184" spans="1:61" x14ac:dyDescent="0.25">
      <c r="A184" s="62" t="s">
        <v>288</v>
      </c>
      <c r="B184" s="62" t="s">
        <v>288</v>
      </c>
      <c r="C184" s="63"/>
      <c r="D184" s="64"/>
      <c r="E184" s="65"/>
      <c r="F184" s="66"/>
      <c r="G184" s="63"/>
      <c r="H184" s="67"/>
      <c r="I184" s="68"/>
      <c r="J184" s="68"/>
      <c r="K184" s="32"/>
      <c r="L184" s="75">
        <v>184</v>
      </c>
      <c r="M184" s="75"/>
      <c r="N184" s="70"/>
      <c r="O184" s="77" t="s">
        <v>179</v>
      </c>
      <c r="P184" s="79">
        <v>45079.941180555557</v>
      </c>
      <c r="Q184" s="77" t="s">
        <v>767</v>
      </c>
      <c r="R184" s="77">
        <v>0</v>
      </c>
      <c r="S184" s="77">
        <v>0</v>
      </c>
      <c r="T184" s="77">
        <v>0</v>
      </c>
      <c r="U184" s="77">
        <v>0</v>
      </c>
      <c r="V184" s="77">
        <v>9</v>
      </c>
      <c r="W184" s="82" t="s">
        <v>1637</v>
      </c>
      <c r="X184" s="77"/>
      <c r="Y184" s="77"/>
      <c r="Z184" s="77"/>
      <c r="AA184" s="77" t="s">
        <v>2330</v>
      </c>
      <c r="AB184" s="77" t="s">
        <v>2713</v>
      </c>
      <c r="AC184" s="82" t="s">
        <v>2719</v>
      </c>
      <c r="AD184" s="77" t="s">
        <v>2755</v>
      </c>
      <c r="AE184" s="80" t="str">
        <f>HYPERLINK("https://twitter.com/luiswolftigre/status/1664762642722856960")</f>
        <v>https://twitter.com/luiswolftigre/status/1664762642722856960</v>
      </c>
      <c r="AF184" s="79">
        <v>45079.941180555557</v>
      </c>
      <c r="AG184" s="85">
        <v>45079</v>
      </c>
      <c r="AH184" s="82" t="s">
        <v>2941</v>
      </c>
      <c r="AI184" s="77" t="b">
        <v>0</v>
      </c>
      <c r="AJ184" s="77" t="s">
        <v>3736</v>
      </c>
      <c r="AK184" s="77" t="s">
        <v>3752</v>
      </c>
      <c r="AL184" s="77" t="s">
        <v>3755</v>
      </c>
      <c r="AM184" s="77" t="s">
        <v>3760</v>
      </c>
      <c r="AN184" s="77" t="s">
        <v>3776</v>
      </c>
      <c r="AO184" s="77" t="s">
        <v>3794</v>
      </c>
      <c r="AP184" s="77" t="s">
        <v>3808</v>
      </c>
      <c r="AQ184" s="77" t="s">
        <v>3956</v>
      </c>
      <c r="AR184" s="77">
        <v>13002</v>
      </c>
      <c r="AS184" s="77"/>
      <c r="AT184" s="77"/>
      <c r="AU184" s="77"/>
      <c r="AV184" s="80" t="str">
        <f>HYPERLINK("https://pbs.twimg.com/ext_tw_video_thumb/1664762600041660420/pu/img/z9JDxAP53lmHPF1O.jpg")</f>
        <v>https://pbs.twimg.com/ext_tw_video_thumb/1664762600041660420/pu/img/z9JDxAP53lmHPF1O.jpg</v>
      </c>
      <c r="AW184" s="82" t="s">
        <v>4518</v>
      </c>
      <c r="AX184" s="82" t="s">
        <v>4518</v>
      </c>
      <c r="AY184" s="77"/>
      <c r="AZ184" s="82" t="s">
        <v>5615</v>
      </c>
      <c r="BA184" s="82" t="s">
        <v>5615</v>
      </c>
      <c r="BB184" s="82" t="s">
        <v>5615</v>
      </c>
      <c r="BC184" s="82" t="s">
        <v>4518</v>
      </c>
      <c r="BD184" s="82" t="s">
        <v>5899</v>
      </c>
      <c r="BE184" s="77"/>
      <c r="BF184" s="77"/>
      <c r="BG184" s="77"/>
      <c r="BH184" s="77"/>
      <c r="BI184" s="77"/>
    </row>
    <row r="185" spans="1:61" x14ac:dyDescent="0.25">
      <c r="A185" s="62" t="s">
        <v>288</v>
      </c>
      <c r="B185" s="62" t="s">
        <v>288</v>
      </c>
      <c r="C185" s="63"/>
      <c r="D185" s="64"/>
      <c r="E185" s="65"/>
      <c r="F185" s="66"/>
      <c r="G185" s="63"/>
      <c r="H185" s="67"/>
      <c r="I185" s="68"/>
      <c r="J185" s="68"/>
      <c r="K185" s="32"/>
      <c r="L185" s="75">
        <v>185</v>
      </c>
      <c r="M185" s="75"/>
      <c r="N185" s="70"/>
      <c r="O185" s="77" t="s">
        <v>179</v>
      </c>
      <c r="P185" s="79">
        <v>45078.940868055557</v>
      </c>
      <c r="Q185" s="77" t="s">
        <v>768</v>
      </c>
      <c r="R185" s="77">
        <v>0</v>
      </c>
      <c r="S185" s="77">
        <v>0</v>
      </c>
      <c r="T185" s="77">
        <v>0</v>
      </c>
      <c r="U185" s="77">
        <v>0</v>
      </c>
      <c r="V185" s="77">
        <v>4</v>
      </c>
      <c r="W185" s="82" t="s">
        <v>1637</v>
      </c>
      <c r="X185" s="77"/>
      <c r="Y185" s="77"/>
      <c r="Z185" s="77"/>
      <c r="AA185" s="77" t="s">
        <v>2331</v>
      </c>
      <c r="AB185" s="77" t="s">
        <v>2713</v>
      </c>
      <c r="AC185" s="82" t="s">
        <v>2719</v>
      </c>
      <c r="AD185" s="77" t="s">
        <v>2755</v>
      </c>
      <c r="AE185" s="80" t="str">
        <f>HYPERLINK("https://twitter.com/luiswolftigre/status/1664400141011353600")</f>
        <v>https://twitter.com/luiswolftigre/status/1664400141011353600</v>
      </c>
      <c r="AF185" s="79">
        <v>45078.940868055557</v>
      </c>
      <c r="AG185" s="85">
        <v>45078</v>
      </c>
      <c r="AH185" s="82" t="s">
        <v>2942</v>
      </c>
      <c r="AI185" s="77" t="b">
        <v>0</v>
      </c>
      <c r="AJ185" s="77" t="s">
        <v>3736</v>
      </c>
      <c r="AK185" s="77" t="s">
        <v>3752</v>
      </c>
      <c r="AL185" s="77" t="s">
        <v>3755</v>
      </c>
      <c r="AM185" s="77" t="s">
        <v>3760</v>
      </c>
      <c r="AN185" s="77" t="s">
        <v>3776</v>
      </c>
      <c r="AO185" s="77" t="s">
        <v>3794</v>
      </c>
      <c r="AP185" s="77" t="s">
        <v>3808</v>
      </c>
      <c r="AQ185" s="77" t="s">
        <v>3957</v>
      </c>
      <c r="AR185" s="77">
        <v>9148</v>
      </c>
      <c r="AS185" s="77"/>
      <c r="AT185" s="77"/>
      <c r="AU185" s="77"/>
      <c r="AV185" s="80" t="str">
        <f>HYPERLINK("https://pbs.twimg.com/ext_tw_video_thumb/1664400101052235785/pu/img/kVkWddbwZV2uWTmM.jpg")</f>
        <v>https://pbs.twimg.com/ext_tw_video_thumb/1664400101052235785/pu/img/kVkWddbwZV2uWTmM.jpg</v>
      </c>
      <c r="AW185" s="82" t="s">
        <v>4519</v>
      </c>
      <c r="AX185" s="82" t="s">
        <v>4519</v>
      </c>
      <c r="AY185" s="77"/>
      <c r="AZ185" s="82" t="s">
        <v>5615</v>
      </c>
      <c r="BA185" s="82" t="s">
        <v>5615</v>
      </c>
      <c r="BB185" s="82" t="s">
        <v>5615</v>
      </c>
      <c r="BC185" s="82" t="s">
        <v>4519</v>
      </c>
      <c r="BD185" s="82" t="s">
        <v>5899</v>
      </c>
      <c r="BE185" s="77"/>
      <c r="BF185" s="77"/>
      <c r="BG185" s="77"/>
      <c r="BH185" s="77"/>
      <c r="BI185" s="77"/>
    </row>
    <row r="186" spans="1:61" x14ac:dyDescent="0.25">
      <c r="A186" s="62" t="s">
        <v>288</v>
      </c>
      <c r="B186" s="62" t="s">
        <v>288</v>
      </c>
      <c r="C186" s="63"/>
      <c r="D186" s="64"/>
      <c r="E186" s="65"/>
      <c r="F186" s="66"/>
      <c r="G186" s="63"/>
      <c r="H186" s="67"/>
      <c r="I186" s="68"/>
      <c r="J186" s="68"/>
      <c r="K186" s="32"/>
      <c r="L186" s="75">
        <v>186</v>
      </c>
      <c r="M186" s="75"/>
      <c r="N186" s="70"/>
      <c r="O186" s="77" t="s">
        <v>179</v>
      </c>
      <c r="P186" s="79">
        <v>45077.927233796298</v>
      </c>
      <c r="Q186" s="77" t="s">
        <v>769</v>
      </c>
      <c r="R186" s="77">
        <v>0</v>
      </c>
      <c r="S186" s="77">
        <v>0</v>
      </c>
      <c r="T186" s="77">
        <v>0</v>
      </c>
      <c r="U186" s="77">
        <v>0</v>
      </c>
      <c r="V186" s="77">
        <v>8</v>
      </c>
      <c r="W186" s="82" t="s">
        <v>1637</v>
      </c>
      <c r="X186" s="77"/>
      <c r="Y186" s="77"/>
      <c r="Z186" s="77"/>
      <c r="AA186" s="77" t="s">
        <v>2332</v>
      </c>
      <c r="AB186" s="77" t="s">
        <v>2713</v>
      </c>
      <c r="AC186" s="82" t="s">
        <v>2719</v>
      </c>
      <c r="AD186" s="77" t="s">
        <v>2755</v>
      </c>
      <c r="AE186" s="80" t="str">
        <f>HYPERLINK("https://twitter.com/luiswolftigre/status/1664032812113035266")</f>
        <v>https://twitter.com/luiswolftigre/status/1664032812113035266</v>
      </c>
      <c r="AF186" s="79">
        <v>45077.927233796298</v>
      </c>
      <c r="AG186" s="85">
        <v>45077</v>
      </c>
      <c r="AH186" s="82" t="s">
        <v>2943</v>
      </c>
      <c r="AI186" s="77" t="b">
        <v>0</v>
      </c>
      <c r="AJ186" s="77"/>
      <c r="AK186" s="77"/>
      <c r="AL186" s="77"/>
      <c r="AM186" s="77"/>
      <c r="AN186" s="77"/>
      <c r="AO186" s="77"/>
      <c r="AP186" s="77"/>
      <c r="AQ186" s="77" t="s">
        <v>3958</v>
      </c>
      <c r="AR186" s="77">
        <v>9751</v>
      </c>
      <c r="AS186" s="77"/>
      <c r="AT186" s="77"/>
      <c r="AU186" s="77"/>
      <c r="AV186" s="80" t="str">
        <f>HYPERLINK("https://pbs.twimg.com/ext_tw_video_thumb/1664032766806175744/pu/img/2IEaHj7pnU76FWnT.jpg")</f>
        <v>https://pbs.twimg.com/ext_tw_video_thumb/1664032766806175744/pu/img/2IEaHj7pnU76FWnT.jpg</v>
      </c>
      <c r="AW186" s="82" t="s">
        <v>4520</v>
      </c>
      <c r="AX186" s="82" t="s">
        <v>4520</v>
      </c>
      <c r="AY186" s="77"/>
      <c r="AZ186" s="82" t="s">
        <v>5615</v>
      </c>
      <c r="BA186" s="82" t="s">
        <v>5615</v>
      </c>
      <c r="BB186" s="82" t="s">
        <v>5615</v>
      </c>
      <c r="BC186" s="82" t="s">
        <v>4520</v>
      </c>
      <c r="BD186" s="82" t="s">
        <v>5899</v>
      </c>
      <c r="BE186" s="77"/>
      <c r="BF186" s="77"/>
      <c r="BG186" s="77"/>
      <c r="BH186" s="77"/>
      <c r="BI186" s="77"/>
    </row>
    <row r="187" spans="1:61" x14ac:dyDescent="0.25">
      <c r="A187" s="62" t="s">
        <v>288</v>
      </c>
      <c r="B187" s="62" t="s">
        <v>288</v>
      </c>
      <c r="C187" s="63"/>
      <c r="D187" s="64"/>
      <c r="E187" s="65"/>
      <c r="F187" s="66"/>
      <c r="G187" s="63"/>
      <c r="H187" s="67"/>
      <c r="I187" s="68"/>
      <c r="J187" s="68"/>
      <c r="K187" s="32"/>
      <c r="L187" s="75">
        <v>187</v>
      </c>
      <c r="M187" s="75"/>
      <c r="N187" s="70"/>
      <c r="O187" s="77" t="s">
        <v>179</v>
      </c>
      <c r="P187" s="79">
        <v>45057.991585648146</v>
      </c>
      <c r="Q187" s="77" t="s">
        <v>770</v>
      </c>
      <c r="R187" s="77">
        <v>0</v>
      </c>
      <c r="S187" s="77">
        <v>0</v>
      </c>
      <c r="T187" s="77">
        <v>1</v>
      </c>
      <c r="U187" s="77">
        <v>0</v>
      </c>
      <c r="V187" s="77">
        <v>10</v>
      </c>
      <c r="W187" s="82" t="s">
        <v>1637</v>
      </c>
      <c r="X187" s="77"/>
      <c r="Y187" s="77"/>
      <c r="Z187" s="77"/>
      <c r="AA187" s="77" t="s">
        <v>2333</v>
      </c>
      <c r="AB187" s="77" t="s">
        <v>2713</v>
      </c>
      <c r="AC187" s="82" t="s">
        <v>2719</v>
      </c>
      <c r="AD187" s="77" t="s">
        <v>2752</v>
      </c>
      <c r="AE187" s="80" t="str">
        <f>HYPERLINK("https://twitter.com/luiswolftigre/status/1656808375223451650")</f>
        <v>https://twitter.com/luiswolftigre/status/1656808375223451650</v>
      </c>
      <c r="AF187" s="79">
        <v>45057.991585648146</v>
      </c>
      <c r="AG187" s="85">
        <v>45057</v>
      </c>
      <c r="AH187" s="82" t="s">
        <v>2944</v>
      </c>
      <c r="AI187" s="77" t="b">
        <v>0</v>
      </c>
      <c r="AJ187" s="77" t="s">
        <v>3736</v>
      </c>
      <c r="AK187" s="77" t="s">
        <v>3752</v>
      </c>
      <c r="AL187" s="77" t="s">
        <v>3755</v>
      </c>
      <c r="AM187" s="77" t="s">
        <v>3760</v>
      </c>
      <c r="AN187" s="77" t="s">
        <v>3776</v>
      </c>
      <c r="AO187" s="77" t="s">
        <v>3794</v>
      </c>
      <c r="AP187" s="77" t="s">
        <v>3808</v>
      </c>
      <c r="AQ187" s="77" t="s">
        <v>3959</v>
      </c>
      <c r="AR187" s="77">
        <v>9166</v>
      </c>
      <c r="AS187" s="77"/>
      <c r="AT187" s="77"/>
      <c r="AU187" s="77"/>
      <c r="AV187" s="80" t="str">
        <f>HYPERLINK("https://pbs.twimg.com/ext_tw_video_thumb/1656808346555392000/pu/img/sV-KweRtsVEFq_Bo.jpg")</f>
        <v>https://pbs.twimg.com/ext_tw_video_thumb/1656808346555392000/pu/img/sV-KweRtsVEFq_Bo.jpg</v>
      </c>
      <c r="AW187" s="82" t="s">
        <v>4521</v>
      </c>
      <c r="AX187" s="82" t="s">
        <v>4521</v>
      </c>
      <c r="AY187" s="77"/>
      <c r="AZ187" s="82" t="s">
        <v>5615</v>
      </c>
      <c r="BA187" s="82" t="s">
        <v>5615</v>
      </c>
      <c r="BB187" s="82" t="s">
        <v>5615</v>
      </c>
      <c r="BC187" s="82" t="s">
        <v>4521</v>
      </c>
      <c r="BD187" s="82" t="s">
        <v>5899</v>
      </c>
      <c r="BE187" s="77"/>
      <c r="BF187" s="77"/>
      <c r="BG187" s="77"/>
      <c r="BH187" s="77"/>
      <c r="BI187" s="77"/>
    </row>
    <row r="188" spans="1:61" x14ac:dyDescent="0.25">
      <c r="A188" s="62" t="s">
        <v>288</v>
      </c>
      <c r="B188" s="62" t="s">
        <v>288</v>
      </c>
      <c r="C188" s="63"/>
      <c r="D188" s="64"/>
      <c r="E188" s="65"/>
      <c r="F188" s="66"/>
      <c r="G188" s="63"/>
      <c r="H188" s="67"/>
      <c r="I188" s="68"/>
      <c r="J188" s="68"/>
      <c r="K188" s="32"/>
      <c r="L188" s="75">
        <v>188</v>
      </c>
      <c r="M188" s="75"/>
      <c r="N188" s="70"/>
      <c r="O188" s="77" t="s">
        <v>179</v>
      </c>
      <c r="P188" s="79">
        <v>45056.951805555553</v>
      </c>
      <c r="Q188" s="77" t="s">
        <v>771</v>
      </c>
      <c r="R188" s="77">
        <v>0</v>
      </c>
      <c r="S188" s="77">
        <v>0</v>
      </c>
      <c r="T188" s="77">
        <v>1</v>
      </c>
      <c r="U188" s="77">
        <v>0</v>
      </c>
      <c r="V188" s="77">
        <v>8</v>
      </c>
      <c r="W188" s="82" t="s">
        <v>1637</v>
      </c>
      <c r="X188" s="77"/>
      <c r="Y188" s="77"/>
      <c r="Z188" s="77"/>
      <c r="AA188" s="77" t="s">
        <v>2334</v>
      </c>
      <c r="AB188" s="77" t="s">
        <v>2713</v>
      </c>
      <c r="AC188" s="82" t="s">
        <v>2719</v>
      </c>
      <c r="AD188" s="77" t="s">
        <v>2752</v>
      </c>
      <c r="AE188" s="80" t="str">
        <f>HYPERLINK("https://twitter.com/luiswolftigre/status/1656431571631570947")</f>
        <v>https://twitter.com/luiswolftigre/status/1656431571631570947</v>
      </c>
      <c r="AF188" s="79">
        <v>45056.951805555553</v>
      </c>
      <c r="AG188" s="85">
        <v>45056</v>
      </c>
      <c r="AH188" s="82" t="s">
        <v>2945</v>
      </c>
      <c r="AI188" s="77" t="b">
        <v>0</v>
      </c>
      <c r="AJ188" s="77" t="s">
        <v>3736</v>
      </c>
      <c r="AK188" s="77" t="s">
        <v>3752</v>
      </c>
      <c r="AL188" s="77" t="s">
        <v>3755</v>
      </c>
      <c r="AM188" s="77" t="s">
        <v>3760</v>
      </c>
      <c r="AN188" s="77" t="s">
        <v>3776</v>
      </c>
      <c r="AO188" s="77" t="s">
        <v>3794</v>
      </c>
      <c r="AP188" s="77" t="s">
        <v>3808</v>
      </c>
      <c r="AQ188" s="77" t="s">
        <v>3960</v>
      </c>
      <c r="AR188" s="77">
        <v>8451</v>
      </c>
      <c r="AS188" s="77"/>
      <c r="AT188" s="77"/>
      <c r="AU188" s="77"/>
      <c r="AV188" s="80" t="str">
        <f>HYPERLINK("https://pbs.twimg.com/ext_tw_video_thumb/1656431543332532225/pu/img/LHJ4U8lhHhnz1qli.jpg")</f>
        <v>https://pbs.twimg.com/ext_tw_video_thumb/1656431543332532225/pu/img/LHJ4U8lhHhnz1qli.jpg</v>
      </c>
      <c r="AW188" s="82" t="s">
        <v>4522</v>
      </c>
      <c r="AX188" s="82" t="s">
        <v>4522</v>
      </c>
      <c r="AY188" s="77"/>
      <c r="AZ188" s="82" t="s">
        <v>5615</v>
      </c>
      <c r="BA188" s="82" t="s">
        <v>5615</v>
      </c>
      <c r="BB188" s="82" t="s">
        <v>5615</v>
      </c>
      <c r="BC188" s="82" t="s">
        <v>4522</v>
      </c>
      <c r="BD188" s="82" t="s">
        <v>5899</v>
      </c>
      <c r="BE188" s="77"/>
      <c r="BF188" s="77"/>
      <c r="BG188" s="77"/>
      <c r="BH188" s="77"/>
      <c r="BI188" s="77"/>
    </row>
    <row r="189" spans="1:61" x14ac:dyDescent="0.25">
      <c r="A189" s="62" t="s">
        <v>288</v>
      </c>
      <c r="B189" s="62" t="s">
        <v>288</v>
      </c>
      <c r="C189" s="63"/>
      <c r="D189" s="64"/>
      <c r="E189" s="65"/>
      <c r="F189" s="66"/>
      <c r="G189" s="63"/>
      <c r="H189" s="67"/>
      <c r="I189" s="68"/>
      <c r="J189" s="68"/>
      <c r="K189" s="32"/>
      <c r="L189" s="75">
        <v>189</v>
      </c>
      <c r="M189" s="75"/>
      <c r="N189" s="70"/>
      <c r="O189" s="77" t="s">
        <v>179</v>
      </c>
      <c r="P189" s="79">
        <v>45055.940289351849</v>
      </c>
      <c r="Q189" s="77" t="s">
        <v>772</v>
      </c>
      <c r="R189" s="77">
        <v>0</v>
      </c>
      <c r="S189" s="77">
        <v>0</v>
      </c>
      <c r="T189" s="77">
        <v>1</v>
      </c>
      <c r="U189" s="77">
        <v>0</v>
      </c>
      <c r="V189" s="77">
        <v>10</v>
      </c>
      <c r="W189" s="82" t="s">
        <v>1637</v>
      </c>
      <c r="X189" s="77"/>
      <c r="Y189" s="77"/>
      <c r="Z189" s="77"/>
      <c r="AA189" s="77" t="s">
        <v>2335</v>
      </c>
      <c r="AB189" s="77" t="s">
        <v>2713</v>
      </c>
      <c r="AC189" s="82" t="s">
        <v>2719</v>
      </c>
      <c r="AD189" s="77" t="s">
        <v>2755</v>
      </c>
      <c r="AE189" s="80" t="str">
        <f>HYPERLINK("https://twitter.com/luiswolftigre/status/1656065011192569866")</f>
        <v>https://twitter.com/luiswolftigre/status/1656065011192569866</v>
      </c>
      <c r="AF189" s="79">
        <v>45055.940289351849</v>
      </c>
      <c r="AG189" s="85">
        <v>45055</v>
      </c>
      <c r="AH189" s="82" t="s">
        <v>2946</v>
      </c>
      <c r="AI189" s="77" t="b">
        <v>0</v>
      </c>
      <c r="AJ189" s="77" t="s">
        <v>3736</v>
      </c>
      <c r="AK189" s="77" t="s">
        <v>3752</v>
      </c>
      <c r="AL189" s="77" t="s">
        <v>3755</v>
      </c>
      <c r="AM189" s="77" t="s">
        <v>3760</v>
      </c>
      <c r="AN189" s="77" t="s">
        <v>3776</v>
      </c>
      <c r="AO189" s="77" t="s">
        <v>3794</v>
      </c>
      <c r="AP189" s="77" t="s">
        <v>3808</v>
      </c>
      <c r="AQ189" s="77" t="s">
        <v>3961</v>
      </c>
      <c r="AR189" s="77">
        <v>9450</v>
      </c>
      <c r="AS189" s="77"/>
      <c r="AT189" s="77"/>
      <c r="AU189" s="77"/>
      <c r="AV189" s="80" t="str">
        <f>HYPERLINK("https://pbs.twimg.com/ext_tw_video_thumb/1656064983069782019/pu/img/vv1dDfm-HYdQODAa.jpg")</f>
        <v>https://pbs.twimg.com/ext_tw_video_thumb/1656064983069782019/pu/img/vv1dDfm-HYdQODAa.jpg</v>
      </c>
      <c r="AW189" s="82" t="s">
        <v>4523</v>
      </c>
      <c r="AX189" s="82" t="s">
        <v>4523</v>
      </c>
      <c r="AY189" s="77"/>
      <c r="AZ189" s="82" t="s">
        <v>5615</v>
      </c>
      <c r="BA189" s="82" t="s">
        <v>5615</v>
      </c>
      <c r="BB189" s="82" t="s">
        <v>5615</v>
      </c>
      <c r="BC189" s="82" t="s">
        <v>4523</v>
      </c>
      <c r="BD189" s="82" t="s">
        <v>5899</v>
      </c>
      <c r="BE189" s="77"/>
      <c r="BF189" s="77"/>
      <c r="BG189" s="77"/>
      <c r="BH189" s="77"/>
      <c r="BI189" s="77"/>
    </row>
    <row r="190" spans="1:61" x14ac:dyDescent="0.25">
      <c r="A190" s="62" t="s">
        <v>288</v>
      </c>
      <c r="B190" s="62" t="s">
        <v>288</v>
      </c>
      <c r="C190" s="63"/>
      <c r="D190" s="64"/>
      <c r="E190" s="65"/>
      <c r="F190" s="66"/>
      <c r="G190" s="63"/>
      <c r="H190" s="67"/>
      <c r="I190" s="68"/>
      <c r="J190" s="68"/>
      <c r="K190" s="32"/>
      <c r="L190" s="75">
        <v>190</v>
      </c>
      <c r="M190" s="75"/>
      <c r="N190" s="70"/>
      <c r="O190" s="77" t="s">
        <v>179</v>
      </c>
      <c r="P190" s="79">
        <v>45054.963472222225</v>
      </c>
      <c r="Q190" s="77" t="s">
        <v>773</v>
      </c>
      <c r="R190" s="77">
        <v>0</v>
      </c>
      <c r="S190" s="77">
        <v>0</v>
      </c>
      <c r="T190" s="77">
        <v>1</v>
      </c>
      <c r="U190" s="77">
        <v>0</v>
      </c>
      <c r="V190" s="77">
        <v>11</v>
      </c>
      <c r="W190" s="82" t="s">
        <v>1637</v>
      </c>
      <c r="X190" s="77"/>
      <c r="Y190" s="77"/>
      <c r="Z190" s="77"/>
      <c r="AA190" s="77" t="s">
        <v>2336</v>
      </c>
      <c r="AB190" s="77" t="s">
        <v>2713</v>
      </c>
      <c r="AC190" s="82" t="s">
        <v>2719</v>
      </c>
      <c r="AD190" s="77" t="s">
        <v>2752</v>
      </c>
      <c r="AE190" s="80" t="str">
        <f>HYPERLINK("https://twitter.com/luiswolftigre/status/1655711025813913600")</f>
        <v>https://twitter.com/luiswolftigre/status/1655711025813913600</v>
      </c>
      <c r="AF190" s="79">
        <v>45054.963472222225</v>
      </c>
      <c r="AG190" s="85">
        <v>45054</v>
      </c>
      <c r="AH190" s="82" t="s">
        <v>2947</v>
      </c>
      <c r="AI190" s="77" t="b">
        <v>0</v>
      </c>
      <c r="AJ190" s="77" t="s">
        <v>3736</v>
      </c>
      <c r="AK190" s="77" t="s">
        <v>3752</v>
      </c>
      <c r="AL190" s="77" t="s">
        <v>3755</v>
      </c>
      <c r="AM190" s="77" t="s">
        <v>3760</v>
      </c>
      <c r="AN190" s="77" t="s">
        <v>3776</v>
      </c>
      <c r="AO190" s="77" t="s">
        <v>3794</v>
      </c>
      <c r="AP190" s="77" t="s">
        <v>3808</v>
      </c>
      <c r="AQ190" s="77" t="s">
        <v>3962</v>
      </c>
      <c r="AR190" s="77">
        <v>12770</v>
      </c>
      <c r="AS190" s="77"/>
      <c r="AT190" s="77"/>
      <c r="AU190" s="77"/>
      <c r="AV190" s="80" t="str">
        <f>HYPERLINK("https://pbs.twimg.com/ext_tw_video_thumb/1655710996936245249/pu/img/AkiCz1UupWspIyG-.jpg")</f>
        <v>https://pbs.twimg.com/ext_tw_video_thumb/1655710996936245249/pu/img/AkiCz1UupWspIyG-.jpg</v>
      </c>
      <c r="AW190" s="82" t="s">
        <v>4524</v>
      </c>
      <c r="AX190" s="82" t="s">
        <v>4524</v>
      </c>
      <c r="AY190" s="77"/>
      <c r="AZ190" s="82" t="s">
        <v>5615</v>
      </c>
      <c r="BA190" s="82" t="s">
        <v>5615</v>
      </c>
      <c r="BB190" s="82" t="s">
        <v>5615</v>
      </c>
      <c r="BC190" s="82" t="s">
        <v>4524</v>
      </c>
      <c r="BD190" s="82" t="s">
        <v>5899</v>
      </c>
      <c r="BE190" s="77"/>
      <c r="BF190" s="77"/>
      <c r="BG190" s="77"/>
      <c r="BH190" s="77"/>
      <c r="BI190" s="77"/>
    </row>
    <row r="191" spans="1:61" x14ac:dyDescent="0.25">
      <c r="A191" s="62" t="s">
        <v>288</v>
      </c>
      <c r="B191" s="62" t="s">
        <v>288</v>
      </c>
      <c r="C191" s="63"/>
      <c r="D191" s="64"/>
      <c r="E191" s="65"/>
      <c r="F191" s="66"/>
      <c r="G191" s="63"/>
      <c r="H191" s="67"/>
      <c r="I191" s="68"/>
      <c r="J191" s="68"/>
      <c r="K191" s="32"/>
      <c r="L191" s="75">
        <v>191</v>
      </c>
      <c r="M191" s="75"/>
      <c r="N191" s="70"/>
      <c r="O191" s="77" t="s">
        <v>179</v>
      </c>
      <c r="P191" s="79">
        <v>45054.037731481483</v>
      </c>
      <c r="Q191" s="77" t="s">
        <v>774</v>
      </c>
      <c r="R191" s="77">
        <v>0</v>
      </c>
      <c r="S191" s="77">
        <v>0</v>
      </c>
      <c r="T191" s="77">
        <v>1</v>
      </c>
      <c r="U191" s="77">
        <v>0</v>
      </c>
      <c r="V191" s="77">
        <v>11</v>
      </c>
      <c r="W191" s="82" t="s">
        <v>1637</v>
      </c>
      <c r="X191" s="77"/>
      <c r="Y191" s="77"/>
      <c r="Z191" s="77"/>
      <c r="AA191" s="77" t="s">
        <v>2337</v>
      </c>
      <c r="AB191" s="77" t="s">
        <v>2713</v>
      </c>
      <c r="AC191" s="82" t="s">
        <v>2719</v>
      </c>
      <c r="AD191" s="77" t="s">
        <v>2752</v>
      </c>
      <c r="AE191" s="80" t="str">
        <f>HYPERLINK("https://twitter.com/luiswolftigre/status/1655375549122899968")</f>
        <v>https://twitter.com/luiswolftigre/status/1655375549122899968</v>
      </c>
      <c r="AF191" s="79">
        <v>45054.037731481483</v>
      </c>
      <c r="AG191" s="85">
        <v>45054</v>
      </c>
      <c r="AH191" s="82" t="s">
        <v>2948</v>
      </c>
      <c r="AI191" s="77" t="b">
        <v>0</v>
      </c>
      <c r="AJ191" s="77" t="s">
        <v>3736</v>
      </c>
      <c r="AK191" s="77" t="s">
        <v>3752</v>
      </c>
      <c r="AL191" s="77" t="s">
        <v>3755</v>
      </c>
      <c r="AM191" s="77" t="s">
        <v>3760</v>
      </c>
      <c r="AN191" s="77" t="s">
        <v>3776</v>
      </c>
      <c r="AO191" s="77" t="s">
        <v>3794</v>
      </c>
      <c r="AP191" s="77" t="s">
        <v>3808</v>
      </c>
      <c r="AQ191" s="77" t="s">
        <v>3963</v>
      </c>
      <c r="AR191" s="77">
        <v>11307</v>
      </c>
      <c r="AS191" s="77"/>
      <c r="AT191" s="77"/>
      <c r="AU191" s="77"/>
      <c r="AV191" s="80" t="str">
        <f>HYPERLINK("https://pbs.twimg.com/ext_tw_video_thumb/1655375520224215041/pu/img/52JlZfHG-PozHlnj.jpg")</f>
        <v>https://pbs.twimg.com/ext_tw_video_thumb/1655375520224215041/pu/img/52JlZfHG-PozHlnj.jpg</v>
      </c>
      <c r="AW191" s="82" t="s">
        <v>4525</v>
      </c>
      <c r="AX191" s="82" t="s">
        <v>4525</v>
      </c>
      <c r="AY191" s="77"/>
      <c r="AZ191" s="82" t="s">
        <v>5615</v>
      </c>
      <c r="BA191" s="82" t="s">
        <v>5615</v>
      </c>
      <c r="BB191" s="82" t="s">
        <v>5615</v>
      </c>
      <c r="BC191" s="82" t="s">
        <v>4525</v>
      </c>
      <c r="BD191" s="82" t="s">
        <v>5899</v>
      </c>
      <c r="BE191" s="77"/>
      <c r="BF191" s="77"/>
      <c r="BG191" s="77"/>
      <c r="BH191" s="77"/>
      <c r="BI191" s="77"/>
    </row>
    <row r="192" spans="1:61" x14ac:dyDescent="0.25">
      <c r="A192" s="62" t="s">
        <v>288</v>
      </c>
      <c r="B192" s="62" t="s">
        <v>288</v>
      </c>
      <c r="C192" s="63"/>
      <c r="D192" s="64"/>
      <c r="E192" s="65"/>
      <c r="F192" s="66"/>
      <c r="G192" s="63"/>
      <c r="H192" s="67"/>
      <c r="I192" s="68"/>
      <c r="J192" s="68"/>
      <c r="K192" s="32"/>
      <c r="L192" s="75">
        <v>192</v>
      </c>
      <c r="M192" s="75"/>
      <c r="N192" s="70"/>
      <c r="O192" s="77" t="s">
        <v>179</v>
      </c>
      <c r="P192" s="79">
        <v>45053.837604166663</v>
      </c>
      <c r="Q192" s="77" t="s">
        <v>775</v>
      </c>
      <c r="R192" s="77">
        <v>0</v>
      </c>
      <c r="S192" s="77">
        <v>0</v>
      </c>
      <c r="T192" s="77">
        <v>1</v>
      </c>
      <c r="U192" s="77">
        <v>0</v>
      </c>
      <c r="V192" s="77">
        <v>5</v>
      </c>
      <c r="W192" s="82" t="s">
        <v>1637</v>
      </c>
      <c r="X192" s="77"/>
      <c r="Y192" s="77"/>
      <c r="Z192" s="77"/>
      <c r="AA192" s="77" t="s">
        <v>2338</v>
      </c>
      <c r="AB192" s="77" t="s">
        <v>2713</v>
      </c>
      <c r="AC192" s="82" t="s">
        <v>2719</v>
      </c>
      <c r="AD192" s="77" t="s">
        <v>2755</v>
      </c>
      <c r="AE192" s="80" t="str">
        <f>HYPERLINK("https://twitter.com/luiswolftigre/status/1655303022858076164")</f>
        <v>https://twitter.com/luiswolftigre/status/1655303022858076164</v>
      </c>
      <c r="AF192" s="79">
        <v>45053.837604166663</v>
      </c>
      <c r="AG192" s="85">
        <v>45053</v>
      </c>
      <c r="AH192" s="82" t="s">
        <v>2949</v>
      </c>
      <c r="AI192" s="77" t="b">
        <v>0</v>
      </c>
      <c r="AJ192" s="77" t="s">
        <v>3736</v>
      </c>
      <c r="AK192" s="77" t="s">
        <v>3752</v>
      </c>
      <c r="AL192" s="77" t="s">
        <v>3755</v>
      </c>
      <c r="AM192" s="77" t="s">
        <v>3760</v>
      </c>
      <c r="AN192" s="77" t="s">
        <v>3776</v>
      </c>
      <c r="AO192" s="77" t="s">
        <v>3794</v>
      </c>
      <c r="AP192" s="77" t="s">
        <v>3808</v>
      </c>
      <c r="AQ192" s="77" t="s">
        <v>3964</v>
      </c>
      <c r="AR192" s="77">
        <v>11818</v>
      </c>
      <c r="AS192" s="77"/>
      <c r="AT192" s="77"/>
      <c r="AU192" s="77"/>
      <c r="AV192" s="80" t="str">
        <f>HYPERLINK("https://pbs.twimg.com/ext_tw_video_thumb/1655302984161435650/pu/img/U6-oB4kSQPr-JJp6.jpg")</f>
        <v>https://pbs.twimg.com/ext_tw_video_thumb/1655302984161435650/pu/img/U6-oB4kSQPr-JJp6.jpg</v>
      </c>
      <c r="AW192" s="82" t="s">
        <v>4526</v>
      </c>
      <c r="AX192" s="82" t="s">
        <v>4526</v>
      </c>
      <c r="AY192" s="77"/>
      <c r="AZ192" s="82" t="s">
        <v>5615</v>
      </c>
      <c r="BA192" s="82" t="s">
        <v>5615</v>
      </c>
      <c r="BB192" s="82" t="s">
        <v>5615</v>
      </c>
      <c r="BC192" s="82" t="s">
        <v>4526</v>
      </c>
      <c r="BD192" s="82" t="s">
        <v>5899</v>
      </c>
      <c r="BE192" s="77"/>
      <c r="BF192" s="77"/>
      <c r="BG192" s="77"/>
      <c r="BH192" s="77"/>
      <c r="BI192" s="77"/>
    </row>
    <row r="193" spans="1:61" x14ac:dyDescent="0.25">
      <c r="A193" s="62" t="s">
        <v>288</v>
      </c>
      <c r="B193" s="62" t="s">
        <v>288</v>
      </c>
      <c r="C193" s="63"/>
      <c r="D193" s="64"/>
      <c r="E193" s="65"/>
      <c r="F193" s="66"/>
      <c r="G193" s="63"/>
      <c r="H193" s="67"/>
      <c r="I193" s="68"/>
      <c r="J193" s="68"/>
      <c r="K193" s="32"/>
      <c r="L193" s="75">
        <v>193</v>
      </c>
      <c r="M193" s="75"/>
      <c r="N193" s="70"/>
      <c r="O193" s="77" t="s">
        <v>179</v>
      </c>
      <c r="P193" s="79">
        <v>45052.795578703706</v>
      </c>
      <c r="Q193" s="77" t="s">
        <v>776</v>
      </c>
      <c r="R193" s="77">
        <v>0</v>
      </c>
      <c r="S193" s="77">
        <v>0</v>
      </c>
      <c r="T193" s="77">
        <v>1</v>
      </c>
      <c r="U193" s="77">
        <v>0</v>
      </c>
      <c r="V193" s="77">
        <v>7</v>
      </c>
      <c r="W193" s="82" t="s">
        <v>1637</v>
      </c>
      <c r="X193" s="77"/>
      <c r="Y193" s="77"/>
      <c r="Z193" s="77"/>
      <c r="AA193" s="77" t="s">
        <v>2339</v>
      </c>
      <c r="AB193" s="77" t="s">
        <v>2713</v>
      </c>
      <c r="AC193" s="82" t="s">
        <v>2719</v>
      </c>
      <c r="AD193" s="77" t="s">
        <v>2752</v>
      </c>
      <c r="AE193" s="80" t="str">
        <f>HYPERLINK("https://twitter.com/luiswolftigre/status/1654925407664103428")</f>
        <v>https://twitter.com/luiswolftigre/status/1654925407664103428</v>
      </c>
      <c r="AF193" s="79">
        <v>45052.795578703706</v>
      </c>
      <c r="AG193" s="85">
        <v>45052</v>
      </c>
      <c r="AH193" s="82" t="s">
        <v>2950</v>
      </c>
      <c r="AI193" s="77" t="b">
        <v>0</v>
      </c>
      <c r="AJ193" s="77" t="s">
        <v>3736</v>
      </c>
      <c r="AK193" s="77" t="s">
        <v>3752</v>
      </c>
      <c r="AL193" s="77" t="s">
        <v>3755</v>
      </c>
      <c r="AM193" s="77" t="s">
        <v>3760</v>
      </c>
      <c r="AN193" s="77" t="s">
        <v>3776</v>
      </c>
      <c r="AO193" s="77" t="s">
        <v>3794</v>
      </c>
      <c r="AP193" s="77" t="s">
        <v>3808</v>
      </c>
      <c r="AQ193" s="77" t="s">
        <v>3965</v>
      </c>
      <c r="AR193" s="77">
        <v>8474</v>
      </c>
      <c r="AS193" s="77"/>
      <c r="AT193" s="77"/>
      <c r="AU193" s="77"/>
      <c r="AV193" s="80" t="str">
        <f>HYPERLINK("https://pbs.twimg.com/ext_tw_video_thumb/1654925380787027971/pu/img/_jAe8TfGo_-6QzAo.jpg")</f>
        <v>https://pbs.twimg.com/ext_tw_video_thumb/1654925380787027971/pu/img/_jAe8TfGo_-6QzAo.jpg</v>
      </c>
      <c r="AW193" s="82" t="s">
        <v>4527</v>
      </c>
      <c r="AX193" s="82" t="s">
        <v>4527</v>
      </c>
      <c r="AY193" s="77"/>
      <c r="AZ193" s="82" t="s">
        <v>5615</v>
      </c>
      <c r="BA193" s="82" t="s">
        <v>5615</v>
      </c>
      <c r="BB193" s="82" t="s">
        <v>5615</v>
      </c>
      <c r="BC193" s="82" t="s">
        <v>4527</v>
      </c>
      <c r="BD193" s="82" t="s">
        <v>5899</v>
      </c>
      <c r="BE193" s="77"/>
      <c r="BF193" s="77"/>
      <c r="BG193" s="77"/>
      <c r="BH193" s="77"/>
      <c r="BI193" s="77"/>
    </row>
    <row r="194" spans="1:61" x14ac:dyDescent="0.25">
      <c r="A194" s="62" t="s">
        <v>288</v>
      </c>
      <c r="B194" s="62" t="s">
        <v>288</v>
      </c>
      <c r="C194" s="63"/>
      <c r="D194" s="64"/>
      <c r="E194" s="65"/>
      <c r="F194" s="66"/>
      <c r="G194" s="63"/>
      <c r="H194" s="67"/>
      <c r="I194" s="68"/>
      <c r="J194" s="68"/>
      <c r="K194" s="32"/>
      <c r="L194" s="75">
        <v>194</v>
      </c>
      <c r="M194" s="75"/>
      <c r="N194" s="70"/>
      <c r="O194" s="77" t="s">
        <v>179</v>
      </c>
      <c r="P194" s="79">
        <v>45051.960821759261</v>
      </c>
      <c r="Q194" s="77" t="s">
        <v>777</v>
      </c>
      <c r="R194" s="77">
        <v>0</v>
      </c>
      <c r="S194" s="77">
        <v>0</v>
      </c>
      <c r="T194" s="77">
        <v>1</v>
      </c>
      <c r="U194" s="77">
        <v>0</v>
      </c>
      <c r="V194" s="77">
        <v>7</v>
      </c>
      <c r="W194" s="82" t="s">
        <v>1637</v>
      </c>
      <c r="X194" s="77"/>
      <c r="Y194" s="77"/>
      <c r="Z194" s="77"/>
      <c r="AA194" s="77" t="s">
        <v>2340</v>
      </c>
      <c r="AB194" s="77" t="s">
        <v>2713</v>
      </c>
      <c r="AC194" s="82" t="s">
        <v>2719</v>
      </c>
      <c r="AD194" s="77" t="s">
        <v>2752</v>
      </c>
      <c r="AE194" s="80" t="str">
        <f>HYPERLINK("https://twitter.com/luiswolftigre/status/1654622898554822656")</f>
        <v>https://twitter.com/luiswolftigre/status/1654622898554822656</v>
      </c>
      <c r="AF194" s="79">
        <v>45051.960821759261</v>
      </c>
      <c r="AG194" s="85">
        <v>45051</v>
      </c>
      <c r="AH194" s="82" t="s">
        <v>2951</v>
      </c>
      <c r="AI194" s="77" t="b">
        <v>0</v>
      </c>
      <c r="AJ194" s="77" t="s">
        <v>3736</v>
      </c>
      <c r="AK194" s="77" t="s">
        <v>3752</v>
      </c>
      <c r="AL194" s="77" t="s">
        <v>3755</v>
      </c>
      <c r="AM194" s="77" t="s">
        <v>3760</v>
      </c>
      <c r="AN194" s="77" t="s">
        <v>3776</v>
      </c>
      <c r="AO194" s="77" t="s">
        <v>3794</v>
      </c>
      <c r="AP194" s="77" t="s">
        <v>3808</v>
      </c>
      <c r="AQ194" s="77" t="s">
        <v>3966</v>
      </c>
      <c r="AR194" s="77">
        <v>9078</v>
      </c>
      <c r="AS194" s="77"/>
      <c r="AT194" s="77"/>
      <c r="AU194" s="77"/>
      <c r="AV194" s="80" t="str">
        <f>HYPERLINK("https://pbs.twimg.com/ext_tw_video_thumb/1654622871166107648/pu/img/9aMx-52l-7xtGWJ1.jpg")</f>
        <v>https://pbs.twimg.com/ext_tw_video_thumb/1654622871166107648/pu/img/9aMx-52l-7xtGWJ1.jpg</v>
      </c>
      <c r="AW194" s="82" t="s">
        <v>4528</v>
      </c>
      <c r="AX194" s="82" t="s">
        <v>4528</v>
      </c>
      <c r="AY194" s="77"/>
      <c r="AZ194" s="82" t="s">
        <v>5615</v>
      </c>
      <c r="BA194" s="82" t="s">
        <v>5615</v>
      </c>
      <c r="BB194" s="82" t="s">
        <v>5615</v>
      </c>
      <c r="BC194" s="82" t="s">
        <v>4528</v>
      </c>
      <c r="BD194" s="82" t="s">
        <v>5899</v>
      </c>
      <c r="BE194" s="77"/>
      <c r="BF194" s="77"/>
      <c r="BG194" s="77"/>
      <c r="BH194" s="77"/>
      <c r="BI194" s="77"/>
    </row>
    <row r="195" spans="1:61" x14ac:dyDescent="0.25">
      <c r="A195" s="62" t="s">
        <v>288</v>
      </c>
      <c r="B195" s="62" t="s">
        <v>288</v>
      </c>
      <c r="C195" s="63"/>
      <c r="D195" s="64"/>
      <c r="E195" s="65"/>
      <c r="F195" s="66"/>
      <c r="G195" s="63"/>
      <c r="H195" s="67"/>
      <c r="I195" s="68"/>
      <c r="J195" s="68"/>
      <c r="K195" s="32"/>
      <c r="L195" s="75">
        <v>195</v>
      </c>
      <c r="M195" s="75"/>
      <c r="N195" s="70"/>
      <c r="O195" s="77" t="s">
        <v>179</v>
      </c>
      <c r="P195" s="79">
        <v>45024.000300925924</v>
      </c>
      <c r="Q195" s="77" t="s">
        <v>778</v>
      </c>
      <c r="R195" s="77">
        <v>0</v>
      </c>
      <c r="S195" s="77">
        <v>1</v>
      </c>
      <c r="T195" s="77">
        <v>1</v>
      </c>
      <c r="U195" s="77">
        <v>0</v>
      </c>
      <c r="V195" s="77">
        <v>18</v>
      </c>
      <c r="W195" s="82" t="s">
        <v>1637</v>
      </c>
      <c r="X195" s="77"/>
      <c r="Y195" s="77"/>
      <c r="Z195" s="77"/>
      <c r="AA195" s="77" t="s">
        <v>2341</v>
      </c>
      <c r="AB195" s="77" t="s">
        <v>2713</v>
      </c>
      <c r="AC195" s="82" t="s">
        <v>2719</v>
      </c>
      <c r="AD195" s="77" t="s">
        <v>2757</v>
      </c>
      <c r="AE195" s="80" t="str">
        <f>HYPERLINK("https://twitter.com/luiswolftigre/status/1644490347819442177")</f>
        <v>https://twitter.com/luiswolftigre/status/1644490347819442177</v>
      </c>
      <c r="AF195" s="79">
        <v>45024.000300925924</v>
      </c>
      <c r="AG195" s="85">
        <v>45024</v>
      </c>
      <c r="AH195" s="82" t="s">
        <v>2952</v>
      </c>
      <c r="AI195" s="77" t="b">
        <v>0</v>
      </c>
      <c r="AJ195" s="77" t="s">
        <v>3736</v>
      </c>
      <c r="AK195" s="77" t="s">
        <v>3752</v>
      </c>
      <c r="AL195" s="77" t="s">
        <v>3755</v>
      </c>
      <c r="AM195" s="77" t="s">
        <v>3760</v>
      </c>
      <c r="AN195" s="77" t="s">
        <v>3776</v>
      </c>
      <c r="AO195" s="77" t="s">
        <v>3794</v>
      </c>
      <c r="AP195" s="77" t="s">
        <v>3808</v>
      </c>
      <c r="AQ195" s="77" t="s">
        <v>3967</v>
      </c>
      <c r="AR195" s="77">
        <v>14210</v>
      </c>
      <c r="AS195" s="77"/>
      <c r="AT195" s="77"/>
      <c r="AU195" s="77"/>
      <c r="AV195" s="80" t="str">
        <f>HYPERLINK("https://pbs.twimg.com/ext_tw_video_thumb/1644490285722861568/pu/img/aBXI29chA73c9ak9.jpg")</f>
        <v>https://pbs.twimg.com/ext_tw_video_thumb/1644490285722861568/pu/img/aBXI29chA73c9ak9.jpg</v>
      </c>
      <c r="AW195" s="82" t="s">
        <v>4529</v>
      </c>
      <c r="AX195" s="82" t="s">
        <v>4529</v>
      </c>
      <c r="AY195" s="77"/>
      <c r="AZ195" s="82" t="s">
        <v>5615</v>
      </c>
      <c r="BA195" s="82" t="s">
        <v>5615</v>
      </c>
      <c r="BB195" s="82" t="s">
        <v>5615</v>
      </c>
      <c r="BC195" s="82" t="s">
        <v>4529</v>
      </c>
      <c r="BD195" s="82" t="s">
        <v>5899</v>
      </c>
      <c r="BE195" s="77"/>
      <c r="BF195" s="77"/>
      <c r="BG195" s="77"/>
      <c r="BH195" s="77"/>
      <c r="BI195" s="77"/>
    </row>
    <row r="196" spans="1:61" x14ac:dyDescent="0.25">
      <c r="A196" s="62" t="s">
        <v>288</v>
      </c>
      <c r="B196" s="62" t="s">
        <v>288</v>
      </c>
      <c r="C196" s="63"/>
      <c r="D196" s="64"/>
      <c r="E196" s="65"/>
      <c r="F196" s="66"/>
      <c r="G196" s="63"/>
      <c r="H196" s="67"/>
      <c r="I196" s="68"/>
      <c r="J196" s="68"/>
      <c r="K196" s="32"/>
      <c r="L196" s="75">
        <v>196</v>
      </c>
      <c r="M196" s="75"/>
      <c r="N196" s="70"/>
      <c r="O196" s="77" t="s">
        <v>179</v>
      </c>
      <c r="P196" s="79">
        <v>45023.767708333333</v>
      </c>
      <c r="Q196" s="77" t="s">
        <v>779</v>
      </c>
      <c r="R196" s="77">
        <v>0</v>
      </c>
      <c r="S196" s="77">
        <v>1</v>
      </c>
      <c r="T196" s="77">
        <v>1</v>
      </c>
      <c r="U196" s="77">
        <v>0</v>
      </c>
      <c r="V196" s="77">
        <v>27</v>
      </c>
      <c r="W196" s="82" t="s">
        <v>1655</v>
      </c>
      <c r="X196" s="77"/>
      <c r="Y196" s="77"/>
      <c r="Z196" s="77"/>
      <c r="AA196" s="77" t="s">
        <v>2342</v>
      </c>
      <c r="AB196" s="77" t="s">
        <v>2713</v>
      </c>
      <c r="AC196" s="82" t="s">
        <v>2719</v>
      </c>
      <c r="AD196" s="77" t="s">
        <v>2752</v>
      </c>
      <c r="AE196" s="80" t="str">
        <f>HYPERLINK("https://twitter.com/luiswolftigre/status/1644406059086356480")</f>
        <v>https://twitter.com/luiswolftigre/status/1644406059086356480</v>
      </c>
      <c r="AF196" s="79">
        <v>45023.767708333333</v>
      </c>
      <c r="AG196" s="85">
        <v>45023</v>
      </c>
      <c r="AH196" s="82" t="s">
        <v>2953</v>
      </c>
      <c r="AI196" s="77" t="b">
        <v>0</v>
      </c>
      <c r="AJ196" s="77" t="s">
        <v>3736</v>
      </c>
      <c r="AK196" s="77" t="s">
        <v>3752</v>
      </c>
      <c r="AL196" s="77" t="s">
        <v>3755</v>
      </c>
      <c r="AM196" s="77" t="s">
        <v>3760</v>
      </c>
      <c r="AN196" s="77" t="s">
        <v>3776</v>
      </c>
      <c r="AO196" s="77" t="s">
        <v>3794</v>
      </c>
      <c r="AP196" s="77" t="s">
        <v>3808</v>
      </c>
      <c r="AQ196" s="77" t="s">
        <v>3968</v>
      </c>
      <c r="AR196" s="77">
        <v>17019</v>
      </c>
      <c r="AS196" s="77"/>
      <c r="AT196" s="77"/>
      <c r="AU196" s="77"/>
      <c r="AV196" s="80" t="str">
        <f>HYPERLINK("https://pbs.twimg.com/ext_tw_video_thumb/1644406004484911104/pu/img/o3nXAGx_ieg_0Dlb.jpg")</f>
        <v>https://pbs.twimg.com/ext_tw_video_thumb/1644406004484911104/pu/img/o3nXAGx_ieg_0Dlb.jpg</v>
      </c>
      <c r="AW196" s="82" t="s">
        <v>4530</v>
      </c>
      <c r="AX196" s="82" t="s">
        <v>4530</v>
      </c>
      <c r="AY196" s="77"/>
      <c r="AZ196" s="82" t="s">
        <v>5615</v>
      </c>
      <c r="BA196" s="82" t="s">
        <v>5615</v>
      </c>
      <c r="BB196" s="82" t="s">
        <v>5615</v>
      </c>
      <c r="BC196" s="82" t="s">
        <v>4530</v>
      </c>
      <c r="BD196" s="82" t="s">
        <v>5899</v>
      </c>
      <c r="BE196" s="77"/>
      <c r="BF196" s="77"/>
      <c r="BG196" s="77"/>
      <c r="BH196" s="77"/>
      <c r="BI196" s="77"/>
    </row>
    <row r="197" spans="1:61" x14ac:dyDescent="0.25">
      <c r="A197" s="62" t="s">
        <v>288</v>
      </c>
      <c r="B197" s="62" t="s">
        <v>288</v>
      </c>
      <c r="C197" s="63"/>
      <c r="D197" s="64"/>
      <c r="E197" s="65"/>
      <c r="F197" s="66"/>
      <c r="G197" s="63"/>
      <c r="H197" s="67"/>
      <c r="I197" s="68"/>
      <c r="J197" s="68"/>
      <c r="K197" s="32"/>
      <c r="L197" s="75">
        <v>197</v>
      </c>
      <c r="M197" s="75"/>
      <c r="N197" s="70"/>
      <c r="O197" s="77" t="s">
        <v>179</v>
      </c>
      <c r="P197" s="79">
        <v>45022.981145833335</v>
      </c>
      <c r="Q197" s="77" t="s">
        <v>780</v>
      </c>
      <c r="R197" s="77">
        <v>0</v>
      </c>
      <c r="S197" s="77">
        <v>1</v>
      </c>
      <c r="T197" s="77">
        <v>1</v>
      </c>
      <c r="U197" s="77">
        <v>0</v>
      </c>
      <c r="V197" s="77">
        <v>22</v>
      </c>
      <c r="W197" s="82" t="s">
        <v>1656</v>
      </c>
      <c r="X197" s="77"/>
      <c r="Y197" s="77"/>
      <c r="Z197" s="77"/>
      <c r="AA197" s="77" t="s">
        <v>2343</v>
      </c>
      <c r="AB197" s="77" t="s">
        <v>2713</v>
      </c>
      <c r="AC197" s="82" t="s">
        <v>2719</v>
      </c>
      <c r="AD197" s="77" t="s">
        <v>2752</v>
      </c>
      <c r="AE197" s="80" t="str">
        <f>HYPERLINK("https://twitter.com/luiswolftigre/status/1644121017743179777")</f>
        <v>https://twitter.com/luiswolftigre/status/1644121017743179777</v>
      </c>
      <c r="AF197" s="79">
        <v>45022.981145833335</v>
      </c>
      <c r="AG197" s="85">
        <v>45022</v>
      </c>
      <c r="AH197" s="82" t="s">
        <v>2954</v>
      </c>
      <c r="AI197" s="77" t="b">
        <v>0</v>
      </c>
      <c r="AJ197" s="77" t="s">
        <v>3736</v>
      </c>
      <c r="AK197" s="77" t="s">
        <v>3752</v>
      </c>
      <c r="AL197" s="77" t="s">
        <v>3755</v>
      </c>
      <c r="AM197" s="77" t="s">
        <v>3760</v>
      </c>
      <c r="AN197" s="77" t="s">
        <v>3776</v>
      </c>
      <c r="AO197" s="77" t="s">
        <v>3794</v>
      </c>
      <c r="AP197" s="77" t="s">
        <v>3808</v>
      </c>
      <c r="AQ197" s="77" t="s">
        <v>3969</v>
      </c>
      <c r="AR197" s="77">
        <v>13166</v>
      </c>
      <c r="AS197" s="77"/>
      <c r="AT197" s="77"/>
      <c r="AU197" s="77"/>
      <c r="AV197" s="80" t="str">
        <f>HYPERLINK("https://pbs.twimg.com/ext_tw_video_thumb/1644120960809807872/pu/img/ZCCSjidJSqZXtGG0.jpg")</f>
        <v>https://pbs.twimg.com/ext_tw_video_thumb/1644120960809807872/pu/img/ZCCSjidJSqZXtGG0.jpg</v>
      </c>
      <c r="AW197" s="82" t="s">
        <v>4531</v>
      </c>
      <c r="AX197" s="82" t="s">
        <v>4531</v>
      </c>
      <c r="AY197" s="77"/>
      <c r="AZ197" s="82" t="s">
        <v>5615</v>
      </c>
      <c r="BA197" s="82" t="s">
        <v>5615</v>
      </c>
      <c r="BB197" s="82" t="s">
        <v>5615</v>
      </c>
      <c r="BC197" s="82" t="s">
        <v>4531</v>
      </c>
      <c r="BD197" s="82" t="s">
        <v>5899</v>
      </c>
      <c r="BE197" s="77"/>
      <c r="BF197" s="77"/>
      <c r="BG197" s="77"/>
      <c r="BH197" s="77"/>
      <c r="BI197" s="77"/>
    </row>
    <row r="198" spans="1:61" x14ac:dyDescent="0.25">
      <c r="A198" s="62" t="s">
        <v>288</v>
      </c>
      <c r="B198" s="62" t="s">
        <v>288</v>
      </c>
      <c r="C198" s="63"/>
      <c r="D198" s="64"/>
      <c r="E198" s="65"/>
      <c r="F198" s="66"/>
      <c r="G198" s="63"/>
      <c r="H198" s="67"/>
      <c r="I198" s="68"/>
      <c r="J198" s="68"/>
      <c r="K198" s="32"/>
      <c r="L198" s="75">
        <v>198</v>
      </c>
      <c r="M198" s="75"/>
      <c r="N198" s="70"/>
      <c r="O198" s="77" t="s">
        <v>179</v>
      </c>
      <c r="P198" s="79">
        <v>45021.955925925926</v>
      </c>
      <c r="Q198" s="77" t="s">
        <v>781</v>
      </c>
      <c r="R198" s="77">
        <v>0</v>
      </c>
      <c r="S198" s="77">
        <v>1</v>
      </c>
      <c r="T198" s="77">
        <v>1</v>
      </c>
      <c r="U198" s="77">
        <v>0</v>
      </c>
      <c r="V198" s="77">
        <v>25</v>
      </c>
      <c r="W198" s="82" t="s">
        <v>1657</v>
      </c>
      <c r="X198" s="77"/>
      <c r="Y198" s="77"/>
      <c r="Z198" s="77"/>
      <c r="AA198" s="77" t="s">
        <v>2344</v>
      </c>
      <c r="AB198" s="77" t="s">
        <v>2713</v>
      </c>
      <c r="AC198" s="82" t="s">
        <v>2719</v>
      </c>
      <c r="AD198" s="77" t="s">
        <v>2752</v>
      </c>
      <c r="AE198" s="80" t="str">
        <f>HYPERLINK("https://twitter.com/luiswolftigre/status/1643749489273110528")</f>
        <v>https://twitter.com/luiswolftigre/status/1643749489273110528</v>
      </c>
      <c r="AF198" s="79">
        <v>45021.955925925926</v>
      </c>
      <c r="AG198" s="85">
        <v>45021</v>
      </c>
      <c r="AH198" s="82" t="s">
        <v>2955</v>
      </c>
      <c r="AI198" s="77" t="b">
        <v>0</v>
      </c>
      <c r="AJ198" s="77" t="s">
        <v>3736</v>
      </c>
      <c r="AK198" s="77" t="s">
        <v>3752</v>
      </c>
      <c r="AL198" s="77" t="s">
        <v>3755</v>
      </c>
      <c r="AM198" s="77" t="s">
        <v>3760</v>
      </c>
      <c r="AN198" s="77" t="s">
        <v>3776</v>
      </c>
      <c r="AO198" s="77" t="s">
        <v>3794</v>
      </c>
      <c r="AP198" s="77" t="s">
        <v>3808</v>
      </c>
      <c r="AQ198" s="77" t="s">
        <v>3970</v>
      </c>
      <c r="AR198" s="77">
        <v>5549</v>
      </c>
      <c r="AS198" s="77"/>
      <c r="AT198" s="77"/>
      <c r="AU198" s="77"/>
      <c r="AV198" s="80" t="str">
        <f>HYPERLINK("https://pbs.twimg.com/ext_tw_video_thumb/1643749424424730625/pu/img/u2TC_Bz-jP9x0EaC.jpg")</f>
        <v>https://pbs.twimg.com/ext_tw_video_thumb/1643749424424730625/pu/img/u2TC_Bz-jP9x0EaC.jpg</v>
      </c>
      <c r="AW198" s="82" t="s">
        <v>4532</v>
      </c>
      <c r="AX198" s="82" t="s">
        <v>4532</v>
      </c>
      <c r="AY198" s="77"/>
      <c r="AZ198" s="82" t="s">
        <v>5615</v>
      </c>
      <c r="BA198" s="82" t="s">
        <v>5615</v>
      </c>
      <c r="BB198" s="82" t="s">
        <v>5615</v>
      </c>
      <c r="BC198" s="82" t="s">
        <v>4532</v>
      </c>
      <c r="BD198" s="82" t="s">
        <v>5899</v>
      </c>
      <c r="BE198" s="77"/>
      <c r="BF198" s="77"/>
      <c r="BG198" s="77"/>
      <c r="BH198" s="77"/>
      <c r="BI198" s="77"/>
    </row>
    <row r="199" spans="1:61" x14ac:dyDescent="0.25">
      <c r="A199" s="62" t="s">
        <v>288</v>
      </c>
      <c r="B199" s="62" t="s">
        <v>288</v>
      </c>
      <c r="C199" s="63"/>
      <c r="D199" s="64"/>
      <c r="E199" s="65"/>
      <c r="F199" s="66"/>
      <c r="G199" s="63"/>
      <c r="H199" s="67"/>
      <c r="I199" s="68"/>
      <c r="J199" s="68"/>
      <c r="K199" s="32"/>
      <c r="L199" s="75">
        <v>199</v>
      </c>
      <c r="M199" s="75"/>
      <c r="N199" s="70"/>
      <c r="O199" s="77" t="s">
        <v>179</v>
      </c>
      <c r="P199" s="79">
        <v>45019.984583333331</v>
      </c>
      <c r="Q199" s="77" t="s">
        <v>782</v>
      </c>
      <c r="R199" s="77">
        <v>0</v>
      </c>
      <c r="S199" s="77">
        <v>1</v>
      </c>
      <c r="T199" s="77">
        <v>1</v>
      </c>
      <c r="U199" s="77">
        <v>0</v>
      </c>
      <c r="V199" s="77">
        <v>11</v>
      </c>
      <c r="W199" s="82" t="s">
        <v>1638</v>
      </c>
      <c r="X199" s="77"/>
      <c r="Y199" s="77"/>
      <c r="Z199" s="77"/>
      <c r="AA199" s="77" t="s">
        <v>2345</v>
      </c>
      <c r="AB199" s="77" t="s">
        <v>2713</v>
      </c>
      <c r="AC199" s="82" t="s">
        <v>2719</v>
      </c>
      <c r="AD199" s="77" t="s">
        <v>2757</v>
      </c>
      <c r="AE199" s="80" t="str">
        <f>HYPERLINK("https://twitter.com/luiswolftigre/status/1643035097937879040")</f>
        <v>https://twitter.com/luiswolftigre/status/1643035097937879040</v>
      </c>
      <c r="AF199" s="79">
        <v>45019.984583333331</v>
      </c>
      <c r="AG199" s="85">
        <v>45019</v>
      </c>
      <c r="AH199" s="82" t="s">
        <v>2956</v>
      </c>
      <c r="AI199" s="77" t="b">
        <v>0</v>
      </c>
      <c r="AJ199" s="77" t="s">
        <v>3736</v>
      </c>
      <c r="AK199" s="77" t="s">
        <v>3752</v>
      </c>
      <c r="AL199" s="77" t="s">
        <v>3755</v>
      </c>
      <c r="AM199" s="77" t="s">
        <v>3760</v>
      </c>
      <c r="AN199" s="77" t="s">
        <v>3776</v>
      </c>
      <c r="AO199" s="77" t="s">
        <v>3794</v>
      </c>
      <c r="AP199" s="77" t="s">
        <v>3808</v>
      </c>
      <c r="AQ199" s="77" t="s">
        <v>3971</v>
      </c>
      <c r="AR199" s="77">
        <v>8451</v>
      </c>
      <c r="AS199" s="77"/>
      <c r="AT199" s="77"/>
      <c r="AU199" s="77"/>
      <c r="AV199" s="80" t="str">
        <f>HYPERLINK("https://pbs.twimg.com/ext_tw_video_thumb/1643035048541581312/pu/img/jN_wGf2H_EXJ9sHP.jpg")</f>
        <v>https://pbs.twimg.com/ext_tw_video_thumb/1643035048541581312/pu/img/jN_wGf2H_EXJ9sHP.jpg</v>
      </c>
      <c r="AW199" s="82" t="s">
        <v>4533</v>
      </c>
      <c r="AX199" s="82" t="s">
        <v>4533</v>
      </c>
      <c r="AY199" s="77"/>
      <c r="AZ199" s="82" t="s">
        <v>5615</v>
      </c>
      <c r="BA199" s="82" t="s">
        <v>5615</v>
      </c>
      <c r="BB199" s="82" t="s">
        <v>5615</v>
      </c>
      <c r="BC199" s="82" t="s">
        <v>4533</v>
      </c>
      <c r="BD199" s="82" t="s">
        <v>5899</v>
      </c>
      <c r="BE199" s="77"/>
      <c r="BF199" s="77"/>
      <c r="BG199" s="77"/>
      <c r="BH199" s="77"/>
      <c r="BI199" s="77"/>
    </row>
    <row r="200" spans="1:61" x14ac:dyDescent="0.25">
      <c r="A200" s="62" t="s">
        <v>288</v>
      </c>
      <c r="B200" s="62" t="s">
        <v>288</v>
      </c>
      <c r="C200" s="63"/>
      <c r="D200" s="64"/>
      <c r="E200" s="65"/>
      <c r="F200" s="66"/>
      <c r="G200" s="63"/>
      <c r="H200" s="67"/>
      <c r="I200" s="68"/>
      <c r="J200" s="68"/>
      <c r="K200" s="32"/>
      <c r="L200" s="75">
        <v>200</v>
      </c>
      <c r="M200" s="75"/>
      <c r="N200" s="70"/>
      <c r="O200" s="77" t="s">
        <v>179</v>
      </c>
      <c r="P200" s="79">
        <v>45019.071805555555</v>
      </c>
      <c r="Q200" s="77" t="s">
        <v>783</v>
      </c>
      <c r="R200" s="77">
        <v>0</v>
      </c>
      <c r="S200" s="77">
        <v>1</v>
      </c>
      <c r="T200" s="77">
        <v>1</v>
      </c>
      <c r="U200" s="77">
        <v>0</v>
      </c>
      <c r="V200" s="77">
        <v>25</v>
      </c>
      <c r="W200" s="82" t="s">
        <v>1637</v>
      </c>
      <c r="X200" s="77"/>
      <c r="Y200" s="77"/>
      <c r="Z200" s="77"/>
      <c r="AA200" s="77" t="s">
        <v>2346</v>
      </c>
      <c r="AB200" s="77" t="s">
        <v>2713</v>
      </c>
      <c r="AC200" s="82" t="s">
        <v>2719</v>
      </c>
      <c r="AD200" s="77" t="s">
        <v>2752</v>
      </c>
      <c r="AE200" s="80" t="str">
        <f>HYPERLINK("https://twitter.com/luiswolftigre/status/1642704319156723712")</f>
        <v>https://twitter.com/luiswolftigre/status/1642704319156723712</v>
      </c>
      <c r="AF200" s="79">
        <v>45019.071805555555</v>
      </c>
      <c r="AG200" s="85">
        <v>45019</v>
      </c>
      <c r="AH200" s="82" t="s">
        <v>2957</v>
      </c>
      <c r="AI200" s="77" t="b">
        <v>0</v>
      </c>
      <c r="AJ200" s="77" t="s">
        <v>3736</v>
      </c>
      <c r="AK200" s="77" t="s">
        <v>3752</v>
      </c>
      <c r="AL200" s="77" t="s">
        <v>3755</v>
      </c>
      <c r="AM200" s="77" t="s">
        <v>3760</v>
      </c>
      <c r="AN200" s="77" t="s">
        <v>3776</v>
      </c>
      <c r="AO200" s="77" t="s">
        <v>3794</v>
      </c>
      <c r="AP200" s="77" t="s">
        <v>3808</v>
      </c>
      <c r="AQ200" s="77" t="s">
        <v>3972</v>
      </c>
      <c r="AR200" s="77">
        <v>8916</v>
      </c>
      <c r="AS200" s="77"/>
      <c r="AT200" s="77"/>
      <c r="AU200" s="77"/>
      <c r="AV200" s="80" t="str">
        <f>HYPERLINK("https://pbs.twimg.com/ext_tw_video_thumb/1642704281500352513/pu/img/PexJQ8wDWzC36LGP.jpg")</f>
        <v>https://pbs.twimg.com/ext_tw_video_thumb/1642704281500352513/pu/img/PexJQ8wDWzC36LGP.jpg</v>
      </c>
      <c r="AW200" s="82" t="s">
        <v>4534</v>
      </c>
      <c r="AX200" s="82" t="s">
        <v>4534</v>
      </c>
      <c r="AY200" s="77"/>
      <c r="AZ200" s="82" t="s">
        <v>5615</v>
      </c>
      <c r="BA200" s="82" t="s">
        <v>5615</v>
      </c>
      <c r="BB200" s="82" t="s">
        <v>5615</v>
      </c>
      <c r="BC200" s="82" t="s">
        <v>4534</v>
      </c>
      <c r="BD200" s="82" t="s">
        <v>5899</v>
      </c>
      <c r="BE200" s="77"/>
      <c r="BF200" s="77"/>
      <c r="BG200" s="77"/>
      <c r="BH200" s="77"/>
      <c r="BI200" s="77"/>
    </row>
    <row r="201" spans="1:61" x14ac:dyDescent="0.25">
      <c r="A201" s="62" t="s">
        <v>288</v>
      </c>
      <c r="B201" s="62" t="s">
        <v>288</v>
      </c>
      <c r="C201" s="63"/>
      <c r="D201" s="64"/>
      <c r="E201" s="65"/>
      <c r="F201" s="66"/>
      <c r="G201" s="63"/>
      <c r="H201" s="67"/>
      <c r="I201" s="68"/>
      <c r="J201" s="68"/>
      <c r="K201" s="32"/>
      <c r="L201" s="75">
        <v>201</v>
      </c>
      <c r="M201" s="75"/>
      <c r="N201" s="70"/>
      <c r="O201" s="77" t="s">
        <v>179</v>
      </c>
      <c r="P201" s="79">
        <v>45018.892141203702</v>
      </c>
      <c r="Q201" s="77" t="s">
        <v>784</v>
      </c>
      <c r="R201" s="77">
        <v>0</v>
      </c>
      <c r="S201" s="77">
        <v>1</v>
      </c>
      <c r="T201" s="77">
        <v>1</v>
      </c>
      <c r="U201" s="77">
        <v>0</v>
      </c>
      <c r="V201" s="77">
        <v>21</v>
      </c>
      <c r="W201" s="82" t="s">
        <v>1658</v>
      </c>
      <c r="X201" s="77"/>
      <c r="Y201" s="77"/>
      <c r="Z201" s="77"/>
      <c r="AA201" s="77" t="s">
        <v>2347</v>
      </c>
      <c r="AB201" s="77" t="s">
        <v>2713</v>
      </c>
      <c r="AC201" s="82" t="s">
        <v>2719</v>
      </c>
      <c r="AD201" s="77" t="s">
        <v>2752</v>
      </c>
      <c r="AE201" s="80" t="str">
        <f>HYPERLINK("https://twitter.com/luiswolftigre/status/1642639213333032961")</f>
        <v>https://twitter.com/luiswolftigre/status/1642639213333032961</v>
      </c>
      <c r="AF201" s="79">
        <v>45018.892141203702</v>
      </c>
      <c r="AG201" s="85">
        <v>45018</v>
      </c>
      <c r="AH201" s="82" t="s">
        <v>2958</v>
      </c>
      <c r="AI201" s="77" t="b">
        <v>0</v>
      </c>
      <c r="AJ201" s="77" t="s">
        <v>3736</v>
      </c>
      <c r="AK201" s="77" t="s">
        <v>3752</v>
      </c>
      <c r="AL201" s="77" t="s">
        <v>3755</v>
      </c>
      <c r="AM201" s="77" t="s">
        <v>3760</v>
      </c>
      <c r="AN201" s="77" t="s">
        <v>3776</v>
      </c>
      <c r="AO201" s="77" t="s">
        <v>3794</v>
      </c>
      <c r="AP201" s="77" t="s">
        <v>3808</v>
      </c>
      <c r="AQ201" s="77" t="s">
        <v>3973</v>
      </c>
      <c r="AR201" s="77">
        <v>13072</v>
      </c>
      <c r="AS201" s="77"/>
      <c r="AT201" s="77"/>
      <c r="AU201" s="77"/>
      <c r="AV201" s="80" t="str">
        <f>HYPERLINK("https://pbs.twimg.com/ext_tw_video_thumb/1642639153593556992/pu/img/eWBF6sAozYq41ql8.jpg")</f>
        <v>https://pbs.twimg.com/ext_tw_video_thumb/1642639153593556992/pu/img/eWBF6sAozYq41ql8.jpg</v>
      </c>
      <c r="AW201" s="82" t="s">
        <v>4535</v>
      </c>
      <c r="AX201" s="82" t="s">
        <v>4535</v>
      </c>
      <c r="AY201" s="77"/>
      <c r="AZ201" s="82" t="s">
        <v>5615</v>
      </c>
      <c r="BA201" s="82" t="s">
        <v>5615</v>
      </c>
      <c r="BB201" s="82" t="s">
        <v>5615</v>
      </c>
      <c r="BC201" s="82" t="s">
        <v>4535</v>
      </c>
      <c r="BD201" s="82" t="s">
        <v>5899</v>
      </c>
      <c r="BE201" s="77"/>
      <c r="BF201" s="77"/>
      <c r="BG201" s="77"/>
      <c r="BH201" s="77"/>
      <c r="BI201" s="77"/>
    </row>
    <row r="202" spans="1:61" x14ac:dyDescent="0.25">
      <c r="A202" s="62" t="s">
        <v>288</v>
      </c>
      <c r="B202" s="62" t="s">
        <v>288</v>
      </c>
      <c r="C202" s="63"/>
      <c r="D202" s="64"/>
      <c r="E202" s="65"/>
      <c r="F202" s="66"/>
      <c r="G202" s="63"/>
      <c r="H202" s="67"/>
      <c r="I202" s="68"/>
      <c r="J202" s="68"/>
      <c r="K202" s="32"/>
      <c r="L202" s="75">
        <v>202</v>
      </c>
      <c r="M202" s="75"/>
      <c r="N202" s="70"/>
      <c r="O202" s="77" t="s">
        <v>179</v>
      </c>
      <c r="P202" s="79">
        <v>45018.689641203702</v>
      </c>
      <c r="Q202" s="77" t="s">
        <v>785</v>
      </c>
      <c r="R202" s="77">
        <v>0</v>
      </c>
      <c r="S202" s="77">
        <v>1</v>
      </c>
      <c r="T202" s="77">
        <v>1</v>
      </c>
      <c r="U202" s="77">
        <v>0</v>
      </c>
      <c r="V202" s="77">
        <v>33</v>
      </c>
      <c r="W202" s="82" t="s">
        <v>1639</v>
      </c>
      <c r="X202" s="77"/>
      <c r="Y202" s="77"/>
      <c r="Z202" s="77"/>
      <c r="AA202" s="77" t="s">
        <v>2348</v>
      </c>
      <c r="AB202" s="77" t="s">
        <v>2713</v>
      </c>
      <c r="AC202" s="82" t="s">
        <v>2719</v>
      </c>
      <c r="AD202" s="77" t="s">
        <v>2752</v>
      </c>
      <c r="AE202" s="80" t="str">
        <f>HYPERLINK("https://twitter.com/luiswolftigre/status/1642565829760897025")</f>
        <v>https://twitter.com/luiswolftigre/status/1642565829760897025</v>
      </c>
      <c r="AF202" s="79">
        <v>45018.689641203702</v>
      </c>
      <c r="AG202" s="85">
        <v>45018</v>
      </c>
      <c r="AH202" s="82" t="s">
        <v>2959</v>
      </c>
      <c r="AI202" s="77" t="b">
        <v>0</v>
      </c>
      <c r="AJ202" s="77" t="s">
        <v>3736</v>
      </c>
      <c r="AK202" s="77" t="s">
        <v>3752</v>
      </c>
      <c r="AL202" s="77" t="s">
        <v>3755</v>
      </c>
      <c r="AM202" s="77" t="s">
        <v>3760</v>
      </c>
      <c r="AN202" s="77" t="s">
        <v>3776</v>
      </c>
      <c r="AO202" s="77" t="s">
        <v>3794</v>
      </c>
      <c r="AP202" s="77" t="s">
        <v>3808</v>
      </c>
      <c r="AQ202" s="77" t="s">
        <v>3974</v>
      </c>
      <c r="AR202" s="77">
        <v>8382</v>
      </c>
      <c r="AS202" s="77"/>
      <c r="AT202" s="77"/>
      <c r="AU202" s="77"/>
      <c r="AV202" s="80" t="str">
        <f>HYPERLINK("https://pbs.twimg.com/ext_tw_video_thumb/1642565768410718210/pu/img/Darhkao-sHvcweC8.jpg")</f>
        <v>https://pbs.twimg.com/ext_tw_video_thumb/1642565768410718210/pu/img/Darhkao-sHvcweC8.jpg</v>
      </c>
      <c r="AW202" s="82" t="s">
        <v>4536</v>
      </c>
      <c r="AX202" s="82" t="s">
        <v>4536</v>
      </c>
      <c r="AY202" s="77"/>
      <c r="AZ202" s="82" t="s">
        <v>5615</v>
      </c>
      <c r="BA202" s="82" t="s">
        <v>5615</v>
      </c>
      <c r="BB202" s="82" t="s">
        <v>5615</v>
      </c>
      <c r="BC202" s="82" t="s">
        <v>4536</v>
      </c>
      <c r="BD202" s="82" t="s">
        <v>5899</v>
      </c>
      <c r="BE202" s="77"/>
      <c r="BF202" s="77"/>
      <c r="BG202" s="77"/>
      <c r="BH202" s="77"/>
      <c r="BI202" s="77"/>
    </row>
    <row r="203" spans="1:61" x14ac:dyDescent="0.25">
      <c r="A203" s="62" t="s">
        <v>288</v>
      </c>
      <c r="B203" s="62" t="s">
        <v>288</v>
      </c>
      <c r="C203" s="63"/>
      <c r="D203" s="64"/>
      <c r="E203" s="65"/>
      <c r="F203" s="66"/>
      <c r="G203" s="63"/>
      <c r="H203" s="67"/>
      <c r="I203" s="68"/>
      <c r="J203" s="68"/>
      <c r="K203" s="32"/>
      <c r="L203" s="75">
        <v>203</v>
      </c>
      <c r="M203" s="75"/>
      <c r="N203" s="70"/>
      <c r="O203" s="77" t="s">
        <v>179</v>
      </c>
      <c r="P203" s="79">
        <v>45017.943310185183</v>
      </c>
      <c r="Q203" s="77" t="s">
        <v>786</v>
      </c>
      <c r="R203" s="77">
        <v>0</v>
      </c>
      <c r="S203" s="77">
        <v>1</v>
      </c>
      <c r="T203" s="77">
        <v>1</v>
      </c>
      <c r="U203" s="77">
        <v>0</v>
      </c>
      <c r="V203" s="77">
        <v>30</v>
      </c>
      <c r="W203" s="82" t="s">
        <v>1639</v>
      </c>
      <c r="X203" s="77"/>
      <c r="Y203" s="77"/>
      <c r="Z203" s="77"/>
      <c r="AA203" s="77" t="s">
        <v>2349</v>
      </c>
      <c r="AB203" s="77" t="s">
        <v>2713</v>
      </c>
      <c r="AC203" s="82" t="s">
        <v>2719</v>
      </c>
      <c r="AD203" s="77" t="s">
        <v>2752</v>
      </c>
      <c r="AE203" s="80" t="str">
        <f>HYPERLINK("https://twitter.com/luiswolftigre/status/1642295365255700481")</f>
        <v>https://twitter.com/luiswolftigre/status/1642295365255700481</v>
      </c>
      <c r="AF203" s="79">
        <v>45017.943310185183</v>
      </c>
      <c r="AG203" s="85">
        <v>45017</v>
      </c>
      <c r="AH203" s="82" t="s">
        <v>2960</v>
      </c>
      <c r="AI203" s="77" t="b">
        <v>0</v>
      </c>
      <c r="AJ203" s="77" t="s">
        <v>3736</v>
      </c>
      <c r="AK203" s="77" t="s">
        <v>3752</v>
      </c>
      <c r="AL203" s="77" t="s">
        <v>3755</v>
      </c>
      <c r="AM203" s="77" t="s">
        <v>3760</v>
      </c>
      <c r="AN203" s="77" t="s">
        <v>3776</v>
      </c>
      <c r="AO203" s="77" t="s">
        <v>3794</v>
      </c>
      <c r="AP203" s="77" t="s">
        <v>3808</v>
      </c>
      <c r="AQ203" s="77" t="s">
        <v>3975</v>
      </c>
      <c r="AR203" s="77">
        <v>11284</v>
      </c>
      <c r="AS203" s="77"/>
      <c r="AT203" s="77"/>
      <c r="AU203" s="77"/>
      <c r="AV203" s="80" t="str">
        <f>HYPERLINK("https://pbs.twimg.com/ext_tw_video_thumb/1642295313410015238/pu/img/oZuiJ0Cni-Q2lQ3R.jpg")</f>
        <v>https://pbs.twimg.com/ext_tw_video_thumb/1642295313410015238/pu/img/oZuiJ0Cni-Q2lQ3R.jpg</v>
      </c>
      <c r="AW203" s="82" t="s">
        <v>4537</v>
      </c>
      <c r="AX203" s="82" t="s">
        <v>4537</v>
      </c>
      <c r="AY203" s="77"/>
      <c r="AZ203" s="82" t="s">
        <v>5615</v>
      </c>
      <c r="BA203" s="82" t="s">
        <v>5615</v>
      </c>
      <c r="BB203" s="82" t="s">
        <v>5615</v>
      </c>
      <c r="BC203" s="82" t="s">
        <v>4537</v>
      </c>
      <c r="BD203" s="82" t="s">
        <v>5899</v>
      </c>
      <c r="BE203" s="77"/>
      <c r="BF203" s="77"/>
      <c r="BG203" s="77"/>
      <c r="BH203" s="77"/>
      <c r="BI203" s="77"/>
    </row>
    <row r="204" spans="1:61" x14ac:dyDescent="0.25">
      <c r="A204" s="62" t="s">
        <v>288</v>
      </c>
      <c r="B204" s="62" t="s">
        <v>288</v>
      </c>
      <c r="C204" s="63"/>
      <c r="D204" s="64"/>
      <c r="E204" s="65"/>
      <c r="F204" s="66"/>
      <c r="G204" s="63"/>
      <c r="H204" s="67"/>
      <c r="I204" s="68"/>
      <c r="J204" s="68"/>
      <c r="K204" s="32"/>
      <c r="L204" s="75">
        <v>204</v>
      </c>
      <c r="M204" s="75"/>
      <c r="N204" s="70"/>
      <c r="O204" s="77" t="s">
        <v>179</v>
      </c>
      <c r="P204" s="79">
        <v>45017.773657407408</v>
      </c>
      <c r="Q204" s="77" t="s">
        <v>787</v>
      </c>
      <c r="R204" s="77">
        <v>0</v>
      </c>
      <c r="S204" s="77">
        <v>2</v>
      </c>
      <c r="T204" s="77">
        <v>1</v>
      </c>
      <c r="U204" s="77">
        <v>0</v>
      </c>
      <c r="V204" s="77">
        <v>62</v>
      </c>
      <c r="W204" s="82" t="s">
        <v>1658</v>
      </c>
      <c r="X204" s="77"/>
      <c r="Y204" s="77"/>
      <c r="Z204" s="77"/>
      <c r="AA204" s="77" t="s">
        <v>2350</v>
      </c>
      <c r="AB204" s="77" t="s">
        <v>2713</v>
      </c>
      <c r="AC204" s="82" t="s">
        <v>2719</v>
      </c>
      <c r="AD204" s="77" t="s">
        <v>2752</v>
      </c>
      <c r="AE204" s="80" t="str">
        <f>HYPERLINK("https://twitter.com/luiswolftigre/status/1642233885978251265")</f>
        <v>https://twitter.com/luiswolftigre/status/1642233885978251265</v>
      </c>
      <c r="AF204" s="79">
        <v>45017.773657407408</v>
      </c>
      <c r="AG204" s="85">
        <v>45017</v>
      </c>
      <c r="AH204" s="82" t="s">
        <v>2961</v>
      </c>
      <c r="AI204" s="77" t="b">
        <v>0</v>
      </c>
      <c r="AJ204" s="77" t="s">
        <v>3736</v>
      </c>
      <c r="AK204" s="77" t="s">
        <v>3752</v>
      </c>
      <c r="AL204" s="77" t="s">
        <v>3755</v>
      </c>
      <c r="AM204" s="77" t="s">
        <v>3760</v>
      </c>
      <c r="AN204" s="77" t="s">
        <v>3776</v>
      </c>
      <c r="AO204" s="77" t="s">
        <v>3794</v>
      </c>
      <c r="AP204" s="77" t="s">
        <v>3808</v>
      </c>
      <c r="AQ204" s="77" t="s">
        <v>3976</v>
      </c>
      <c r="AR204" s="77">
        <v>5619</v>
      </c>
      <c r="AS204" s="77"/>
      <c r="AT204" s="77"/>
      <c r="AU204" s="77"/>
      <c r="AV204" s="80" t="str">
        <f>HYPERLINK("https://pbs.twimg.com/ext_tw_video_thumb/1642233820849008642/pu/img/wdygOEUBfScR1Tp8.jpg")</f>
        <v>https://pbs.twimg.com/ext_tw_video_thumb/1642233820849008642/pu/img/wdygOEUBfScR1Tp8.jpg</v>
      </c>
      <c r="AW204" s="82" t="s">
        <v>4538</v>
      </c>
      <c r="AX204" s="82" t="s">
        <v>4538</v>
      </c>
      <c r="AY204" s="77"/>
      <c r="AZ204" s="82" t="s">
        <v>5615</v>
      </c>
      <c r="BA204" s="82" t="s">
        <v>5615</v>
      </c>
      <c r="BB204" s="82" t="s">
        <v>5615</v>
      </c>
      <c r="BC204" s="82" t="s">
        <v>4538</v>
      </c>
      <c r="BD204" s="82" t="s">
        <v>5899</v>
      </c>
      <c r="BE204" s="77"/>
      <c r="BF204" s="77"/>
      <c r="BG204" s="77"/>
      <c r="BH204" s="77"/>
      <c r="BI204" s="77"/>
    </row>
    <row r="205" spans="1:61" x14ac:dyDescent="0.25">
      <c r="A205" s="62" t="s">
        <v>288</v>
      </c>
      <c r="B205" s="62" t="s">
        <v>288</v>
      </c>
      <c r="C205" s="63"/>
      <c r="D205" s="64"/>
      <c r="E205" s="65"/>
      <c r="F205" s="66"/>
      <c r="G205" s="63"/>
      <c r="H205" s="67"/>
      <c r="I205" s="68"/>
      <c r="J205" s="68"/>
      <c r="K205" s="32"/>
      <c r="L205" s="75">
        <v>205</v>
      </c>
      <c r="M205" s="75"/>
      <c r="N205" s="70"/>
      <c r="O205" s="77" t="s">
        <v>179</v>
      </c>
      <c r="P205" s="79">
        <v>45017.007997685185</v>
      </c>
      <c r="Q205" s="77" t="s">
        <v>788</v>
      </c>
      <c r="R205" s="77">
        <v>0</v>
      </c>
      <c r="S205" s="77">
        <v>1</v>
      </c>
      <c r="T205" s="77">
        <v>1</v>
      </c>
      <c r="U205" s="77">
        <v>0</v>
      </c>
      <c r="V205" s="77">
        <v>28</v>
      </c>
      <c r="W205" s="82" t="s">
        <v>1659</v>
      </c>
      <c r="X205" s="77"/>
      <c r="Y205" s="77"/>
      <c r="Z205" s="77"/>
      <c r="AA205" s="77" t="s">
        <v>2351</v>
      </c>
      <c r="AB205" s="77" t="s">
        <v>2713</v>
      </c>
      <c r="AC205" s="82" t="s">
        <v>2719</v>
      </c>
      <c r="AD205" s="77" t="s">
        <v>2752</v>
      </c>
      <c r="AE205" s="80" t="str">
        <f>HYPERLINK("https://twitter.com/luiswolftigre/status/1641956420223377409")</f>
        <v>https://twitter.com/luiswolftigre/status/1641956420223377409</v>
      </c>
      <c r="AF205" s="79">
        <v>45017.007997685185</v>
      </c>
      <c r="AG205" s="85">
        <v>45017</v>
      </c>
      <c r="AH205" s="82" t="s">
        <v>2962</v>
      </c>
      <c r="AI205" s="77" t="b">
        <v>0</v>
      </c>
      <c r="AJ205" s="77" t="s">
        <v>3736</v>
      </c>
      <c r="AK205" s="77" t="s">
        <v>3752</v>
      </c>
      <c r="AL205" s="77" t="s">
        <v>3755</v>
      </c>
      <c r="AM205" s="77" t="s">
        <v>3760</v>
      </c>
      <c r="AN205" s="77" t="s">
        <v>3776</v>
      </c>
      <c r="AO205" s="77" t="s">
        <v>3794</v>
      </c>
      <c r="AP205" s="77" t="s">
        <v>3808</v>
      </c>
      <c r="AQ205" s="77" t="s">
        <v>3977</v>
      </c>
      <c r="AR205" s="77">
        <v>11980</v>
      </c>
      <c r="AS205" s="77"/>
      <c r="AT205" s="77"/>
      <c r="AU205" s="77"/>
      <c r="AV205" s="80" t="str">
        <f>HYPERLINK("https://pbs.twimg.com/ext_tw_video_thumb/1641956371540111363/pu/img/DeSa79R1IZpwVH_i.jpg")</f>
        <v>https://pbs.twimg.com/ext_tw_video_thumb/1641956371540111363/pu/img/DeSa79R1IZpwVH_i.jpg</v>
      </c>
      <c r="AW205" s="82" t="s">
        <v>4539</v>
      </c>
      <c r="AX205" s="82" t="s">
        <v>4539</v>
      </c>
      <c r="AY205" s="77"/>
      <c r="AZ205" s="82" t="s">
        <v>5615</v>
      </c>
      <c r="BA205" s="82" t="s">
        <v>5615</v>
      </c>
      <c r="BB205" s="82" t="s">
        <v>5615</v>
      </c>
      <c r="BC205" s="82" t="s">
        <v>4539</v>
      </c>
      <c r="BD205" s="82" t="s">
        <v>5899</v>
      </c>
      <c r="BE205" s="77"/>
      <c r="BF205" s="77"/>
      <c r="BG205" s="77"/>
      <c r="BH205" s="77"/>
      <c r="BI205" s="77"/>
    </row>
    <row r="206" spans="1:61" x14ac:dyDescent="0.25">
      <c r="A206" s="62" t="s">
        <v>288</v>
      </c>
      <c r="B206" s="62" t="s">
        <v>288</v>
      </c>
      <c r="C206" s="63"/>
      <c r="D206" s="64"/>
      <c r="E206" s="65"/>
      <c r="F206" s="66"/>
      <c r="G206" s="63"/>
      <c r="H206" s="67"/>
      <c r="I206" s="68"/>
      <c r="J206" s="68"/>
      <c r="K206" s="32"/>
      <c r="L206" s="75">
        <v>206</v>
      </c>
      <c r="M206" s="75"/>
      <c r="N206" s="70"/>
      <c r="O206" s="77" t="s">
        <v>179</v>
      </c>
      <c r="P206" s="79">
        <v>45106.948761574073</v>
      </c>
      <c r="Q206" s="77" t="s">
        <v>789</v>
      </c>
      <c r="R206" s="77">
        <v>0</v>
      </c>
      <c r="S206" s="77">
        <v>1</v>
      </c>
      <c r="T206" s="77">
        <v>2</v>
      </c>
      <c r="U206" s="77">
        <v>0</v>
      </c>
      <c r="V206" s="77">
        <v>146</v>
      </c>
      <c r="W206" s="82" t="s">
        <v>1660</v>
      </c>
      <c r="X206" s="77"/>
      <c r="Y206" s="77"/>
      <c r="Z206" s="77"/>
      <c r="AA206" s="77" t="s">
        <v>2352</v>
      </c>
      <c r="AB206" s="77" t="s">
        <v>2713</v>
      </c>
      <c r="AC206" s="82" t="s">
        <v>2719</v>
      </c>
      <c r="AD206" s="77" t="s">
        <v>2752</v>
      </c>
      <c r="AE206" s="80" t="str">
        <f>HYPERLINK("https://twitter.com/luiswolftigre/status/1674549864527548423")</f>
        <v>https://twitter.com/luiswolftigre/status/1674549864527548423</v>
      </c>
      <c r="AF206" s="79">
        <v>45106.948761574073</v>
      </c>
      <c r="AG206" s="85">
        <v>45106</v>
      </c>
      <c r="AH206" s="82" t="s">
        <v>2963</v>
      </c>
      <c r="AI206" s="77" t="b">
        <v>0</v>
      </c>
      <c r="AJ206" s="77" t="s">
        <v>3736</v>
      </c>
      <c r="AK206" s="77" t="s">
        <v>3752</v>
      </c>
      <c r="AL206" s="77" t="s">
        <v>3755</v>
      </c>
      <c r="AM206" s="77" t="s">
        <v>3760</v>
      </c>
      <c r="AN206" s="77" t="s">
        <v>3776</v>
      </c>
      <c r="AO206" s="77" t="s">
        <v>3794</v>
      </c>
      <c r="AP206" s="77" t="s">
        <v>3808</v>
      </c>
      <c r="AQ206" s="77" t="s">
        <v>3978</v>
      </c>
      <c r="AR206" s="77">
        <v>8985</v>
      </c>
      <c r="AS206" s="77"/>
      <c r="AT206" s="77"/>
      <c r="AU206" s="77"/>
      <c r="AV206" s="80" t="str">
        <f>HYPERLINK("https://pbs.twimg.com/ext_tw_video_thumb/1674549819036016645/pu/img/lgEEjtuQRHUIT_dp.jpg")</f>
        <v>https://pbs.twimg.com/ext_tw_video_thumb/1674549819036016645/pu/img/lgEEjtuQRHUIT_dp.jpg</v>
      </c>
      <c r="AW206" s="82" t="s">
        <v>4540</v>
      </c>
      <c r="AX206" s="82" t="s">
        <v>4540</v>
      </c>
      <c r="AY206" s="77"/>
      <c r="AZ206" s="82" t="s">
        <v>5615</v>
      </c>
      <c r="BA206" s="82" t="s">
        <v>5615</v>
      </c>
      <c r="BB206" s="82" t="s">
        <v>5615</v>
      </c>
      <c r="BC206" s="82" t="s">
        <v>4540</v>
      </c>
      <c r="BD206" s="82" t="s">
        <v>5899</v>
      </c>
      <c r="BE206" s="77"/>
      <c r="BF206" s="77"/>
      <c r="BG206" s="77"/>
      <c r="BH206" s="77"/>
      <c r="BI206" s="77"/>
    </row>
    <row r="207" spans="1:61" x14ac:dyDescent="0.25">
      <c r="A207" s="62" t="s">
        <v>288</v>
      </c>
      <c r="B207" s="62" t="s">
        <v>288</v>
      </c>
      <c r="C207" s="63"/>
      <c r="D207" s="64"/>
      <c r="E207" s="65"/>
      <c r="F207" s="66"/>
      <c r="G207" s="63"/>
      <c r="H207" s="67"/>
      <c r="I207" s="68"/>
      <c r="J207" s="68"/>
      <c r="K207" s="32"/>
      <c r="L207" s="75">
        <v>207</v>
      </c>
      <c r="M207" s="75"/>
      <c r="N207" s="70"/>
      <c r="O207" s="77" t="s">
        <v>179</v>
      </c>
      <c r="P207" s="79">
        <v>45105.972349537034</v>
      </c>
      <c r="Q207" s="77" t="s">
        <v>790</v>
      </c>
      <c r="R207" s="77">
        <v>0</v>
      </c>
      <c r="S207" s="77">
        <v>0</v>
      </c>
      <c r="T207" s="77">
        <v>0</v>
      </c>
      <c r="U207" s="77">
        <v>0</v>
      </c>
      <c r="V207" s="77">
        <v>40</v>
      </c>
      <c r="W207" s="82" t="s">
        <v>1642</v>
      </c>
      <c r="X207" s="77"/>
      <c r="Y207" s="77"/>
      <c r="Z207" s="77"/>
      <c r="AA207" s="77" t="s">
        <v>2353</v>
      </c>
      <c r="AB207" s="77" t="s">
        <v>2713</v>
      </c>
      <c r="AC207" s="82" t="s">
        <v>2719</v>
      </c>
      <c r="AD207" s="77" t="s">
        <v>2752</v>
      </c>
      <c r="AE207" s="80" t="str">
        <f>HYPERLINK("https://twitter.com/luiswolftigre/status/1674196022082322435")</f>
        <v>https://twitter.com/luiswolftigre/status/1674196022082322435</v>
      </c>
      <c r="AF207" s="79">
        <v>45105.972349537034</v>
      </c>
      <c r="AG207" s="85">
        <v>45105</v>
      </c>
      <c r="AH207" s="82" t="s">
        <v>2964</v>
      </c>
      <c r="AI207" s="77" t="b">
        <v>0</v>
      </c>
      <c r="AJ207" s="77" t="s">
        <v>3736</v>
      </c>
      <c r="AK207" s="77" t="s">
        <v>3752</v>
      </c>
      <c r="AL207" s="77" t="s">
        <v>3755</v>
      </c>
      <c r="AM207" s="77" t="s">
        <v>3760</v>
      </c>
      <c r="AN207" s="77" t="s">
        <v>3776</v>
      </c>
      <c r="AO207" s="77" t="s">
        <v>3794</v>
      </c>
      <c r="AP207" s="77" t="s">
        <v>3808</v>
      </c>
      <c r="AQ207" s="77" t="s">
        <v>3979</v>
      </c>
      <c r="AR207" s="77">
        <v>11446</v>
      </c>
      <c r="AS207" s="77"/>
      <c r="AT207" s="77"/>
      <c r="AU207" s="77"/>
      <c r="AV207" s="80" t="str">
        <f>HYPERLINK("https://pbs.twimg.com/ext_tw_video_thumb/1674195968567255040/pu/img/H5RyGaT3WBfOWAzk.jpg")</f>
        <v>https://pbs.twimg.com/ext_tw_video_thumb/1674195968567255040/pu/img/H5RyGaT3WBfOWAzk.jpg</v>
      </c>
      <c r="AW207" s="82" t="s">
        <v>4541</v>
      </c>
      <c r="AX207" s="82" t="s">
        <v>4541</v>
      </c>
      <c r="AY207" s="77"/>
      <c r="AZ207" s="82" t="s">
        <v>5615</v>
      </c>
      <c r="BA207" s="82" t="s">
        <v>5615</v>
      </c>
      <c r="BB207" s="82" t="s">
        <v>5615</v>
      </c>
      <c r="BC207" s="82" t="s">
        <v>4541</v>
      </c>
      <c r="BD207" s="82" t="s">
        <v>5899</v>
      </c>
      <c r="BE207" s="77"/>
      <c r="BF207" s="77"/>
      <c r="BG207" s="77"/>
      <c r="BH207" s="77"/>
      <c r="BI207" s="77"/>
    </row>
    <row r="208" spans="1:61" x14ac:dyDescent="0.25">
      <c r="A208" s="62" t="s">
        <v>288</v>
      </c>
      <c r="B208" s="62" t="s">
        <v>288</v>
      </c>
      <c r="C208" s="63"/>
      <c r="D208" s="64"/>
      <c r="E208" s="65"/>
      <c r="F208" s="66"/>
      <c r="G208" s="63"/>
      <c r="H208" s="67"/>
      <c r="I208" s="68"/>
      <c r="J208" s="68"/>
      <c r="K208" s="32"/>
      <c r="L208" s="75">
        <v>208</v>
      </c>
      <c r="M208" s="75"/>
      <c r="N208" s="70"/>
      <c r="O208" s="77" t="s">
        <v>179</v>
      </c>
      <c r="P208" s="79">
        <v>45100.907256944447</v>
      </c>
      <c r="Q208" s="77" t="s">
        <v>791</v>
      </c>
      <c r="R208" s="77">
        <v>0</v>
      </c>
      <c r="S208" s="77">
        <v>0</v>
      </c>
      <c r="T208" s="77">
        <v>0</v>
      </c>
      <c r="U208" s="77">
        <v>0</v>
      </c>
      <c r="V208" s="77">
        <v>21</v>
      </c>
      <c r="W208" s="82" t="s">
        <v>1642</v>
      </c>
      <c r="X208" s="77"/>
      <c r="Y208" s="77"/>
      <c r="Z208" s="77"/>
      <c r="AA208" s="77" t="s">
        <v>2354</v>
      </c>
      <c r="AB208" s="77" t="s">
        <v>2713</v>
      </c>
      <c r="AC208" s="82" t="s">
        <v>2719</v>
      </c>
      <c r="AD208" s="77" t="s">
        <v>2752</v>
      </c>
      <c r="AE208" s="80" t="str">
        <f>HYPERLINK("https://twitter.com/luiswolftigre/status/1672360495377006592")</f>
        <v>https://twitter.com/luiswolftigre/status/1672360495377006592</v>
      </c>
      <c r="AF208" s="79">
        <v>45100.907256944447</v>
      </c>
      <c r="AG208" s="85">
        <v>45100</v>
      </c>
      <c r="AH208" s="82" t="s">
        <v>2965</v>
      </c>
      <c r="AI208" s="77" t="b">
        <v>0</v>
      </c>
      <c r="AJ208" s="77" t="s">
        <v>3736</v>
      </c>
      <c r="AK208" s="77" t="s">
        <v>3752</v>
      </c>
      <c r="AL208" s="77" t="s">
        <v>3755</v>
      </c>
      <c r="AM208" s="77" t="s">
        <v>3760</v>
      </c>
      <c r="AN208" s="77" t="s">
        <v>3776</v>
      </c>
      <c r="AO208" s="77" t="s">
        <v>3794</v>
      </c>
      <c r="AP208" s="77" t="s">
        <v>3808</v>
      </c>
      <c r="AQ208" s="77" t="s">
        <v>3980</v>
      </c>
      <c r="AR208" s="77">
        <v>6872</v>
      </c>
      <c r="AS208" s="77"/>
      <c r="AT208" s="77"/>
      <c r="AU208" s="77"/>
      <c r="AV208" s="80" t="str">
        <f>HYPERLINK("https://pbs.twimg.com/ext_tw_video_thumb/1672360439190093826/pu/img/MdA__LlqKvEkPvGG.jpg")</f>
        <v>https://pbs.twimg.com/ext_tw_video_thumb/1672360439190093826/pu/img/MdA__LlqKvEkPvGG.jpg</v>
      </c>
      <c r="AW208" s="82" t="s">
        <v>4542</v>
      </c>
      <c r="AX208" s="82" t="s">
        <v>4542</v>
      </c>
      <c r="AY208" s="77"/>
      <c r="AZ208" s="82" t="s">
        <v>5615</v>
      </c>
      <c r="BA208" s="82" t="s">
        <v>5615</v>
      </c>
      <c r="BB208" s="82" t="s">
        <v>5615</v>
      </c>
      <c r="BC208" s="82" t="s">
        <v>4542</v>
      </c>
      <c r="BD208" s="82" t="s">
        <v>5899</v>
      </c>
      <c r="BE208" s="77"/>
      <c r="BF208" s="77"/>
      <c r="BG208" s="77"/>
      <c r="BH208" s="77"/>
      <c r="BI208" s="77"/>
    </row>
    <row r="209" spans="1:61" x14ac:dyDescent="0.25">
      <c r="A209" s="62" t="s">
        <v>288</v>
      </c>
      <c r="B209" s="62" t="s">
        <v>288</v>
      </c>
      <c r="C209" s="63"/>
      <c r="D209" s="64"/>
      <c r="E209" s="65"/>
      <c r="F209" s="66"/>
      <c r="G209" s="63"/>
      <c r="H209" s="67"/>
      <c r="I209" s="68"/>
      <c r="J209" s="68"/>
      <c r="K209" s="32"/>
      <c r="L209" s="75">
        <v>209</v>
      </c>
      <c r="M209" s="75"/>
      <c r="N209" s="70"/>
      <c r="O209" s="77" t="s">
        <v>179</v>
      </c>
      <c r="P209" s="79">
        <v>45099.914143518516</v>
      </c>
      <c r="Q209" s="77" t="s">
        <v>792</v>
      </c>
      <c r="R209" s="77">
        <v>0</v>
      </c>
      <c r="S209" s="77">
        <v>0</v>
      </c>
      <c r="T209" s="77">
        <v>0</v>
      </c>
      <c r="U209" s="77">
        <v>0</v>
      </c>
      <c r="V209" s="77">
        <v>16</v>
      </c>
      <c r="W209" s="82" t="s">
        <v>1642</v>
      </c>
      <c r="X209" s="77"/>
      <c r="Y209" s="77"/>
      <c r="Z209" s="77"/>
      <c r="AA209" s="77" t="s">
        <v>2355</v>
      </c>
      <c r="AB209" s="77" t="s">
        <v>2713</v>
      </c>
      <c r="AC209" s="82" t="s">
        <v>2719</v>
      </c>
      <c r="AD209" s="77" t="s">
        <v>2755</v>
      </c>
      <c r="AE209" s="80" t="str">
        <f>HYPERLINK("https://twitter.com/luiswolftigre/status/1672000602962817024")</f>
        <v>https://twitter.com/luiswolftigre/status/1672000602962817024</v>
      </c>
      <c r="AF209" s="79">
        <v>45099.914143518516</v>
      </c>
      <c r="AG209" s="85">
        <v>45099</v>
      </c>
      <c r="AH209" s="82" t="s">
        <v>2966</v>
      </c>
      <c r="AI209" s="77" t="b">
        <v>0</v>
      </c>
      <c r="AJ209" s="77" t="s">
        <v>3736</v>
      </c>
      <c r="AK209" s="77" t="s">
        <v>3752</v>
      </c>
      <c r="AL209" s="77" t="s">
        <v>3755</v>
      </c>
      <c r="AM209" s="77" t="s">
        <v>3760</v>
      </c>
      <c r="AN209" s="77" t="s">
        <v>3776</v>
      </c>
      <c r="AO209" s="77" t="s">
        <v>3794</v>
      </c>
      <c r="AP209" s="77" t="s">
        <v>3808</v>
      </c>
      <c r="AQ209" s="77" t="s">
        <v>3981</v>
      </c>
      <c r="AR209" s="77">
        <v>6919</v>
      </c>
      <c r="AS209" s="77"/>
      <c r="AT209" s="77"/>
      <c r="AU209" s="77"/>
      <c r="AV209" s="80" t="str">
        <f>HYPERLINK("https://pbs.twimg.com/ext_tw_video_thumb/1672000549288329218/pu/img/IPOte4695u-iZmBU.jpg")</f>
        <v>https://pbs.twimg.com/ext_tw_video_thumb/1672000549288329218/pu/img/IPOte4695u-iZmBU.jpg</v>
      </c>
      <c r="AW209" s="82" t="s">
        <v>4543</v>
      </c>
      <c r="AX209" s="82" t="s">
        <v>4543</v>
      </c>
      <c r="AY209" s="77"/>
      <c r="AZ209" s="82" t="s">
        <v>5615</v>
      </c>
      <c r="BA209" s="82" t="s">
        <v>5615</v>
      </c>
      <c r="BB209" s="82" t="s">
        <v>5615</v>
      </c>
      <c r="BC209" s="82" t="s">
        <v>4543</v>
      </c>
      <c r="BD209" s="82" t="s">
        <v>5899</v>
      </c>
      <c r="BE209" s="77"/>
      <c r="BF209" s="77"/>
      <c r="BG209" s="77"/>
      <c r="BH209" s="77"/>
      <c r="BI209" s="77"/>
    </row>
    <row r="210" spans="1:61" x14ac:dyDescent="0.25">
      <c r="A210" s="62" t="s">
        <v>288</v>
      </c>
      <c r="B210" s="62" t="s">
        <v>288</v>
      </c>
      <c r="C210" s="63"/>
      <c r="D210" s="64"/>
      <c r="E210" s="65"/>
      <c r="F210" s="66"/>
      <c r="G210" s="63"/>
      <c r="H210" s="67"/>
      <c r="I210" s="68"/>
      <c r="J210" s="68"/>
      <c r="K210" s="32"/>
      <c r="L210" s="75">
        <v>210</v>
      </c>
      <c r="M210" s="75"/>
      <c r="N210" s="70"/>
      <c r="O210" s="77" t="s">
        <v>179</v>
      </c>
      <c r="P210" s="79">
        <v>45098.93240740741</v>
      </c>
      <c r="Q210" s="77" t="s">
        <v>793</v>
      </c>
      <c r="R210" s="77">
        <v>0</v>
      </c>
      <c r="S210" s="77">
        <v>1</v>
      </c>
      <c r="T210" s="77">
        <v>0</v>
      </c>
      <c r="U210" s="77">
        <v>0</v>
      </c>
      <c r="V210" s="77">
        <v>12</v>
      </c>
      <c r="W210" s="82" t="s">
        <v>1642</v>
      </c>
      <c r="X210" s="77"/>
      <c r="Y210" s="77"/>
      <c r="Z210" s="77"/>
      <c r="AA210" s="77" t="s">
        <v>2356</v>
      </c>
      <c r="AB210" s="77" t="s">
        <v>2713</v>
      </c>
      <c r="AC210" s="82" t="s">
        <v>2719</v>
      </c>
      <c r="AD210" s="77" t="s">
        <v>2755</v>
      </c>
      <c r="AE210" s="80" t="str">
        <f>HYPERLINK("https://twitter.com/luiswolftigre/status/1671644831737585666")</f>
        <v>https://twitter.com/luiswolftigre/status/1671644831737585666</v>
      </c>
      <c r="AF210" s="79">
        <v>45098.93240740741</v>
      </c>
      <c r="AG210" s="85">
        <v>45098</v>
      </c>
      <c r="AH210" s="82" t="s">
        <v>2967</v>
      </c>
      <c r="AI210" s="77" t="b">
        <v>0</v>
      </c>
      <c r="AJ210" s="77" t="s">
        <v>3736</v>
      </c>
      <c r="AK210" s="77" t="s">
        <v>3752</v>
      </c>
      <c r="AL210" s="77" t="s">
        <v>3755</v>
      </c>
      <c r="AM210" s="77" t="s">
        <v>3760</v>
      </c>
      <c r="AN210" s="77" t="s">
        <v>3776</v>
      </c>
      <c r="AO210" s="77" t="s">
        <v>3794</v>
      </c>
      <c r="AP210" s="77" t="s">
        <v>3808</v>
      </c>
      <c r="AQ210" s="77" t="s">
        <v>3982</v>
      </c>
      <c r="AR210" s="77">
        <v>6687</v>
      </c>
      <c r="AS210" s="77"/>
      <c r="AT210" s="77"/>
      <c r="AU210" s="77"/>
      <c r="AV210" s="80" t="str">
        <f>HYPERLINK("https://pbs.twimg.com/ext_tw_video_thumb/1671644786032353281/pu/img/RXvU3nuhoXgW21GS.jpg")</f>
        <v>https://pbs.twimg.com/ext_tw_video_thumb/1671644786032353281/pu/img/RXvU3nuhoXgW21GS.jpg</v>
      </c>
      <c r="AW210" s="82" t="s">
        <v>4544</v>
      </c>
      <c r="AX210" s="82" t="s">
        <v>4544</v>
      </c>
      <c r="AY210" s="77"/>
      <c r="AZ210" s="82" t="s">
        <v>5615</v>
      </c>
      <c r="BA210" s="82" t="s">
        <v>5615</v>
      </c>
      <c r="BB210" s="82" t="s">
        <v>5615</v>
      </c>
      <c r="BC210" s="82" t="s">
        <v>4544</v>
      </c>
      <c r="BD210" s="82" t="s">
        <v>5899</v>
      </c>
      <c r="BE210" s="77"/>
      <c r="BF210" s="77"/>
      <c r="BG210" s="77"/>
      <c r="BH210" s="77"/>
      <c r="BI210" s="77"/>
    </row>
    <row r="211" spans="1:61" x14ac:dyDescent="0.25">
      <c r="A211" s="62" t="s">
        <v>288</v>
      </c>
      <c r="B211" s="62" t="s">
        <v>288</v>
      </c>
      <c r="C211" s="63"/>
      <c r="D211" s="64"/>
      <c r="E211" s="65"/>
      <c r="F211" s="66"/>
      <c r="G211" s="63"/>
      <c r="H211" s="67"/>
      <c r="I211" s="68"/>
      <c r="J211" s="68"/>
      <c r="K211" s="32"/>
      <c r="L211" s="75">
        <v>211</v>
      </c>
      <c r="M211" s="75"/>
      <c r="N211" s="70"/>
      <c r="O211" s="77" t="s">
        <v>179</v>
      </c>
      <c r="P211" s="79">
        <v>45098.930960648147</v>
      </c>
      <c r="Q211" s="77" t="s">
        <v>794</v>
      </c>
      <c r="R211" s="77">
        <v>0</v>
      </c>
      <c r="S211" s="77">
        <v>0</v>
      </c>
      <c r="T211" s="77">
        <v>0</v>
      </c>
      <c r="U211" s="77">
        <v>0</v>
      </c>
      <c r="V211" s="77">
        <v>6</v>
      </c>
      <c r="W211" s="82" t="s">
        <v>1563</v>
      </c>
      <c r="X211" s="80" t="str">
        <f>HYPERLINK("https://go.hotmart.com/Q80572847T?dp=1")</f>
        <v>https://go.hotmart.com/Q80572847T?dp=1</v>
      </c>
      <c r="Y211" s="77" t="s">
        <v>2138</v>
      </c>
      <c r="Z211" s="77"/>
      <c r="AA211" s="77"/>
      <c r="AB211" s="77"/>
      <c r="AC211" s="82" t="s">
        <v>2719</v>
      </c>
      <c r="AD211" s="77" t="s">
        <v>2752</v>
      </c>
      <c r="AE211" s="80" t="str">
        <f>HYPERLINK("https://twitter.com/luiswolftigre/status/1671644310566051842")</f>
        <v>https://twitter.com/luiswolftigre/status/1671644310566051842</v>
      </c>
      <c r="AF211" s="79">
        <v>45098.930960648147</v>
      </c>
      <c r="AG211" s="85">
        <v>45098</v>
      </c>
      <c r="AH211" s="82" t="s">
        <v>2968</v>
      </c>
      <c r="AI211" s="77" t="b">
        <v>0</v>
      </c>
      <c r="AJ211" s="77" t="s">
        <v>3736</v>
      </c>
      <c r="AK211" s="77" t="s">
        <v>3752</v>
      </c>
      <c r="AL211" s="77" t="s">
        <v>3755</v>
      </c>
      <c r="AM211" s="77" t="s">
        <v>3760</v>
      </c>
      <c r="AN211" s="77" t="s">
        <v>3776</v>
      </c>
      <c r="AO211" s="77" t="s">
        <v>3794</v>
      </c>
      <c r="AP211" s="77" t="s">
        <v>3808</v>
      </c>
      <c r="AQ211" s="77"/>
      <c r="AR211" s="77"/>
      <c r="AS211" s="77"/>
      <c r="AT211" s="77"/>
      <c r="AU211" s="77"/>
      <c r="AV211" s="80" t="str">
        <f>HYPERLINK("https://pbs.twimg.com/profile_images/1588067615293022209/uHqvyswj_normal.jpg")</f>
        <v>https://pbs.twimg.com/profile_images/1588067615293022209/uHqvyswj_normal.jpg</v>
      </c>
      <c r="AW211" s="82" t="s">
        <v>4545</v>
      </c>
      <c r="AX211" s="82" t="s">
        <v>4545</v>
      </c>
      <c r="AY211" s="77"/>
      <c r="AZ211" s="82" t="s">
        <v>5615</v>
      </c>
      <c r="BA211" s="82" t="s">
        <v>5615</v>
      </c>
      <c r="BB211" s="82" t="s">
        <v>5615</v>
      </c>
      <c r="BC211" s="82" t="s">
        <v>4545</v>
      </c>
      <c r="BD211" s="82" t="s">
        <v>5899</v>
      </c>
      <c r="BE211" s="77"/>
      <c r="BF211" s="77"/>
      <c r="BG211" s="77"/>
      <c r="BH211" s="77"/>
      <c r="BI211" s="77"/>
    </row>
    <row r="212" spans="1:61" x14ac:dyDescent="0.25">
      <c r="A212" s="62" t="s">
        <v>288</v>
      </c>
      <c r="B212" s="62" t="s">
        <v>288</v>
      </c>
      <c r="C212" s="63"/>
      <c r="D212" s="64"/>
      <c r="E212" s="65"/>
      <c r="F212" s="66"/>
      <c r="G212" s="63"/>
      <c r="H212" s="67"/>
      <c r="I212" s="68"/>
      <c r="J212" s="68"/>
      <c r="K212" s="32"/>
      <c r="L212" s="75">
        <v>212</v>
      </c>
      <c r="M212" s="75"/>
      <c r="N212" s="70"/>
      <c r="O212" s="77" t="s">
        <v>179</v>
      </c>
      <c r="P212" s="79">
        <v>45097.921539351853</v>
      </c>
      <c r="Q212" s="77" t="s">
        <v>795</v>
      </c>
      <c r="R212" s="77">
        <v>0</v>
      </c>
      <c r="S212" s="77">
        <v>1</v>
      </c>
      <c r="T212" s="77">
        <v>0</v>
      </c>
      <c r="U212" s="77">
        <v>0</v>
      </c>
      <c r="V212" s="77">
        <v>28</v>
      </c>
      <c r="W212" s="82" t="s">
        <v>1642</v>
      </c>
      <c r="X212" s="77"/>
      <c r="Y212" s="77"/>
      <c r="Z212" s="77"/>
      <c r="AA212" s="77" t="s">
        <v>2357</v>
      </c>
      <c r="AB212" s="77" t="s">
        <v>2713</v>
      </c>
      <c r="AC212" s="82" t="s">
        <v>2719</v>
      </c>
      <c r="AD212" s="77" t="s">
        <v>2752</v>
      </c>
      <c r="AE212" s="80" t="str">
        <f>HYPERLINK("https://twitter.com/luiswolftigre/status/1671278506590781443")</f>
        <v>https://twitter.com/luiswolftigre/status/1671278506590781443</v>
      </c>
      <c r="AF212" s="79">
        <v>45097.921539351853</v>
      </c>
      <c r="AG212" s="85">
        <v>45097</v>
      </c>
      <c r="AH212" s="82" t="s">
        <v>2969</v>
      </c>
      <c r="AI212" s="77" t="b">
        <v>0</v>
      </c>
      <c r="AJ212" s="77" t="s">
        <v>3736</v>
      </c>
      <c r="AK212" s="77" t="s">
        <v>3752</v>
      </c>
      <c r="AL212" s="77" t="s">
        <v>3755</v>
      </c>
      <c r="AM212" s="77" t="s">
        <v>3760</v>
      </c>
      <c r="AN212" s="77" t="s">
        <v>3776</v>
      </c>
      <c r="AO212" s="77" t="s">
        <v>3794</v>
      </c>
      <c r="AP212" s="77" t="s">
        <v>3808</v>
      </c>
      <c r="AQ212" s="77" t="s">
        <v>3983</v>
      </c>
      <c r="AR212" s="77">
        <v>14047</v>
      </c>
      <c r="AS212" s="77"/>
      <c r="AT212" s="77"/>
      <c r="AU212" s="77"/>
      <c r="AV212" s="80" t="str">
        <f>HYPERLINK("https://pbs.twimg.com/ext_tw_video_thumb/1671278450018009089/pu/img/69Ev-t5ENeu7fWoS.jpg")</f>
        <v>https://pbs.twimg.com/ext_tw_video_thumb/1671278450018009089/pu/img/69Ev-t5ENeu7fWoS.jpg</v>
      </c>
      <c r="AW212" s="82" t="s">
        <v>4546</v>
      </c>
      <c r="AX212" s="82" t="s">
        <v>4546</v>
      </c>
      <c r="AY212" s="77"/>
      <c r="AZ212" s="82" t="s">
        <v>5615</v>
      </c>
      <c r="BA212" s="82" t="s">
        <v>5615</v>
      </c>
      <c r="BB212" s="82" t="s">
        <v>5615</v>
      </c>
      <c r="BC212" s="82" t="s">
        <v>4546</v>
      </c>
      <c r="BD212" s="82" t="s">
        <v>5899</v>
      </c>
      <c r="BE212" s="77"/>
      <c r="BF212" s="77"/>
      <c r="BG212" s="77"/>
      <c r="BH212" s="77"/>
      <c r="BI212" s="77"/>
    </row>
    <row r="213" spans="1:61" x14ac:dyDescent="0.25">
      <c r="A213" s="62" t="s">
        <v>288</v>
      </c>
      <c r="B213" s="62" t="s">
        <v>288</v>
      </c>
      <c r="C213" s="63"/>
      <c r="D213" s="64"/>
      <c r="E213" s="65"/>
      <c r="F213" s="66"/>
      <c r="G213" s="63"/>
      <c r="H213" s="67"/>
      <c r="I213" s="68"/>
      <c r="J213" s="68"/>
      <c r="K213" s="32"/>
      <c r="L213" s="75">
        <v>213</v>
      </c>
      <c r="M213" s="75"/>
      <c r="N213" s="70"/>
      <c r="O213" s="77" t="s">
        <v>179</v>
      </c>
      <c r="P213" s="79">
        <v>45090.908634259256</v>
      </c>
      <c r="Q213" s="77" t="s">
        <v>796</v>
      </c>
      <c r="R213" s="77">
        <v>0</v>
      </c>
      <c r="S213" s="77">
        <v>0</v>
      </c>
      <c r="T213" s="77">
        <v>0</v>
      </c>
      <c r="U213" s="77">
        <v>0</v>
      </c>
      <c r="V213" s="77">
        <v>19</v>
      </c>
      <c r="W213" s="82" t="s">
        <v>1637</v>
      </c>
      <c r="X213" s="77"/>
      <c r="Y213" s="77"/>
      <c r="Z213" s="77"/>
      <c r="AA213" s="77" t="s">
        <v>2358</v>
      </c>
      <c r="AB213" s="77" t="s">
        <v>2713</v>
      </c>
      <c r="AC213" s="82" t="s">
        <v>2719</v>
      </c>
      <c r="AD213" s="77" t="s">
        <v>2755</v>
      </c>
      <c r="AE213" s="80" t="str">
        <f>HYPERLINK("https://twitter.com/luiswolftigre/status/1668737114383548416")</f>
        <v>https://twitter.com/luiswolftigre/status/1668737114383548416</v>
      </c>
      <c r="AF213" s="79">
        <v>45090.908634259256</v>
      </c>
      <c r="AG213" s="85">
        <v>45090</v>
      </c>
      <c r="AH213" s="82" t="s">
        <v>2970</v>
      </c>
      <c r="AI213" s="77" t="b">
        <v>0</v>
      </c>
      <c r="AJ213" s="77" t="s">
        <v>3736</v>
      </c>
      <c r="AK213" s="77" t="s">
        <v>3752</v>
      </c>
      <c r="AL213" s="77" t="s">
        <v>3755</v>
      </c>
      <c r="AM213" s="77" t="s">
        <v>3760</v>
      </c>
      <c r="AN213" s="77" t="s">
        <v>3776</v>
      </c>
      <c r="AO213" s="77" t="s">
        <v>3794</v>
      </c>
      <c r="AP213" s="77" t="s">
        <v>3808</v>
      </c>
      <c r="AQ213" s="77" t="s">
        <v>3984</v>
      </c>
      <c r="AR213" s="77">
        <v>6338</v>
      </c>
      <c r="AS213" s="77"/>
      <c r="AT213" s="77"/>
      <c r="AU213" s="77"/>
      <c r="AV213" s="80" t="str">
        <f>HYPERLINK("https://pbs.twimg.com/ext_tw_video_thumb/1668737072100782081/pu/img/u16ufgUQBI1OMwhl.jpg")</f>
        <v>https://pbs.twimg.com/ext_tw_video_thumb/1668737072100782081/pu/img/u16ufgUQBI1OMwhl.jpg</v>
      </c>
      <c r="AW213" s="82" t="s">
        <v>4547</v>
      </c>
      <c r="AX213" s="82" t="s">
        <v>4547</v>
      </c>
      <c r="AY213" s="77"/>
      <c r="AZ213" s="82" t="s">
        <v>5615</v>
      </c>
      <c r="BA213" s="82" t="s">
        <v>5615</v>
      </c>
      <c r="BB213" s="82" t="s">
        <v>5615</v>
      </c>
      <c r="BC213" s="82" t="s">
        <v>4547</v>
      </c>
      <c r="BD213" s="82" t="s">
        <v>5899</v>
      </c>
      <c r="BE213" s="77"/>
      <c r="BF213" s="77"/>
      <c r="BG213" s="77"/>
      <c r="BH213" s="77"/>
      <c r="BI213" s="77"/>
    </row>
    <row r="214" spans="1:61" x14ac:dyDescent="0.25">
      <c r="A214" s="62" t="s">
        <v>288</v>
      </c>
      <c r="B214" s="62" t="s">
        <v>288</v>
      </c>
      <c r="C214" s="63"/>
      <c r="D214" s="64"/>
      <c r="E214" s="65"/>
      <c r="F214" s="66"/>
      <c r="G214" s="63"/>
      <c r="H214" s="67"/>
      <c r="I214" s="68"/>
      <c r="J214" s="68"/>
      <c r="K214" s="32"/>
      <c r="L214" s="75">
        <v>214</v>
      </c>
      <c r="M214" s="75"/>
      <c r="N214" s="70"/>
      <c r="O214" s="77" t="s">
        <v>179</v>
      </c>
      <c r="P214" s="79">
        <v>45089.915277777778</v>
      </c>
      <c r="Q214" s="77" t="s">
        <v>797</v>
      </c>
      <c r="R214" s="77">
        <v>0</v>
      </c>
      <c r="S214" s="77">
        <v>0</v>
      </c>
      <c r="T214" s="77">
        <v>0</v>
      </c>
      <c r="U214" s="77">
        <v>0</v>
      </c>
      <c r="V214" s="77">
        <v>15</v>
      </c>
      <c r="W214" s="82" t="s">
        <v>1637</v>
      </c>
      <c r="X214" s="77"/>
      <c r="Y214" s="77"/>
      <c r="Z214" s="77"/>
      <c r="AA214" s="77" t="s">
        <v>2359</v>
      </c>
      <c r="AB214" s="77" t="s">
        <v>2713</v>
      </c>
      <c r="AC214" s="82" t="s">
        <v>2719</v>
      </c>
      <c r="AD214" s="77" t="s">
        <v>2755</v>
      </c>
      <c r="AE214" s="80" t="str">
        <f>HYPERLINK("https://twitter.com/luiswolftigre/status/1668377133448671236")</f>
        <v>https://twitter.com/luiswolftigre/status/1668377133448671236</v>
      </c>
      <c r="AF214" s="79">
        <v>45089.915277777778</v>
      </c>
      <c r="AG214" s="85">
        <v>45089</v>
      </c>
      <c r="AH214" s="82" t="s">
        <v>2971</v>
      </c>
      <c r="AI214" s="77" t="b">
        <v>0</v>
      </c>
      <c r="AJ214" s="77" t="s">
        <v>3736</v>
      </c>
      <c r="AK214" s="77" t="s">
        <v>3752</v>
      </c>
      <c r="AL214" s="77" t="s">
        <v>3755</v>
      </c>
      <c r="AM214" s="77" t="s">
        <v>3760</v>
      </c>
      <c r="AN214" s="77" t="s">
        <v>3776</v>
      </c>
      <c r="AO214" s="77" t="s">
        <v>3794</v>
      </c>
      <c r="AP214" s="77" t="s">
        <v>3808</v>
      </c>
      <c r="AQ214" s="77" t="s">
        <v>3985</v>
      </c>
      <c r="AR214" s="77">
        <v>7012</v>
      </c>
      <c r="AS214" s="77"/>
      <c r="AT214" s="77"/>
      <c r="AU214" s="77"/>
      <c r="AV214" s="80" t="str">
        <f>HYPERLINK("https://pbs.twimg.com/ext_tw_video_thumb/1668377101202759682/pu/img/fikvHtG5jWfeKhiE.jpg")</f>
        <v>https://pbs.twimg.com/ext_tw_video_thumb/1668377101202759682/pu/img/fikvHtG5jWfeKhiE.jpg</v>
      </c>
      <c r="AW214" s="82" t="s">
        <v>4548</v>
      </c>
      <c r="AX214" s="82" t="s">
        <v>4548</v>
      </c>
      <c r="AY214" s="77"/>
      <c r="AZ214" s="82" t="s">
        <v>5615</v>
      </c>
      <c r="BA214" s="82" t="s">
        <v>5615</v>
      </c>
      <c r="BB214" s="82" t="s">
        <v>5615</v>
      </c>
      <c r="BC214" s="82" t="s">
        <v>4548</v>
      </c>
      <c r="BD214" s="82" t="s">
        <v>5899</v>
      </c>
      <c r="BE214" s="77"/>
      <c r="BF214" s="77"/>
      <c r="BG214" s="77"/>
      <c r="BH214" s="77"/>
      <c r="BI214" s="77"/>
    </row>
    <row r="215" spans="1:61" x14ac:dyDescent="0.25">
      <c r="A215" s="62" t="s">
        <v>288</v>
      </c>
      <c r="B215" s="62" t="s">
        <v>288</v>
      </c>
      <c r="C215" s="63"/>
      <c r="D215" s="64"/>
      <c r="E215" s="65"/>
      <c r="F215" s="66"/>
      <c r="G215" s="63"/>
      <c r="H215" s="67"/>
      <c r="I215" s="68"/>
      <c r="J215" s="68"/>
      <c r="K215" s="32"/>
      <c r="L215" s="75">
        <v>215</v>
      </c>
      <c r="M215" s="75"/>
      <c r="N215" s="70"/>
      <c r="O215" s="77" t="s">
        <v>179</v>
      </c>
      <c r="P215" s="79">
        <v>45088.736006944448</v>
      </c>
      <c r="Q215" s="77" t="s">
        <v>798</v>
      </c>
      <c r="R215" s="77">
        <v>0</v>
      </c>
      <c r="S215" s="77">
        <v>0</v>
      </c>
      <c r="T215" s="77">
        <v>0</v>
      </c>
      <c r="U215" s="77">
        <v>0</v>
      </c>
      <c r="V215" s="77">
        <v>10</v>
      </c>
      <c r="W215" s="82" t="s">
        <v>1637</v>
      </c>
      <c r="X215" s="77"/>
      <c r="Y215" s="77"/>
      <c r="Z215" s="77"/>
      <c r="AA215" s="77" t="s">
        <v>2360</v>
      </c>
      <c r="AB215" s="77" t="s">
        <v>2713</v>
      </c>
      <c r="AC215" s="82" t="s">
        <v>2719</v>
      </c>
      <c r="AD215" s="77" t="s">
        <v>2755</v>
      </c>
      <c r="AE215" s="80" t="str">
        <f>HYPERLINK("https://twitter.com/luiswolftigre/status/1667949779446296576")</f>
        <v>https://twitter.com/luiswolftigre/status/1667949779446296576</v>
      </c>
      <c r="AF215" s="79">
        <v>45088.736006944448</v>
      </c>
      <c r="AG215" s="85">
        <v>45088</v>
      </c>
      <c r="AH215" s="82" t="s">
        <v>2972</v>
      </c>
      <c r="AI215" s="77" t="b">
        <v>0</v>
      </c>
      <c r="AJ215" s="77" t="s">
        <v>3736</v>
      </c>
      <c r="AK215" s="77" t="s">
        <v>3752</v>
      </c>
      <c r="AL215" s="77" t="s">
        <v>3755</v>
      </c>
      <c r="AM215" s="77" t="s">
        <v>3760</v>
      </c>
      <c r="AN215" s="77" t="s">
        <v>3776</v>
      </c>
      <c r="AO215" s="77" t="s">
        <v>3794</v>
      </c>
      <c r="AP215" s="77" t="s">
        <v>3808</v>
      </c>
      <c r="AQ215" s="77" t="s">
        <v>3986</v>
      </c>
      <c r="AR215" s="77">
        <v>10820</v>
      </c>
      <c r="AS215" s="77"/>
      <c r="AT215" s="77"/>
      <c r="AU215" s="77"/>
      <c r="AV215" s="80" t="str">
        <f>HYPERLINK("https://pbs.twimg.com/ext_tw_video_thumb/1667949721187434496/pu/img/K5SIX5MfGmkiaIaB.jpg")</f>
        <v>https://pbs.twimg.com/ext_tw_video_thumb/1667949721187434496/pu/img/K5SIX5MfGmkiaIaB.jpg</v>
      </c>
      <c r="AW215" s="82" t="s">
        <v>4549</v>
      </c>
      <c r="AX215" s="82" t="s">
        <v>4549</v>
      </c>
      <c r="AY215" s="77"/>
      <c r="AZ215" s="82" t="s">
        <v>5615</v>
      </c>
      <c r="BA215" s="82" t="s">
        <v>5615</v>
      </c>
      <c r="BB215" s="82" t="s">
        <v>5615</v>
      </c>
      <c r="BC215" s="82" t="s">
        <v>4549</v>
      </c>
      <c r="BD215" s="82" t="s">
        <v>5899</v>
      </c>
      <c r="BE215" s="77"/>
      <c r="BF215" s="77"/>
      <c r="BG215" s="77"/>
      <c r="BH215" s="77"/>
      <c r="BI215" s="77"/>
    </row>
    <row r="216" spans="1:61" x14ac:dyDescent="0.25">
      <c r="A216" s="62" t="s">
        <v>288</v>
      </c>
      <c r="B216" s="62" t="s">
        <v>288</v>
      </c>
      <c r="C216" s="63"/>
      <c r="D216" s="64"/>
      <c r="E216" s="65"/>
      <c r="F216" s="66"/>
      <c r="G216" s="63"/>
      <c r="H216" s="67"/>
      <c r="I216" s="68"/>
      <c r="J216" s="68"/>
      <c r="K216" s="32"/>
      <c r="L216" s="75">
        <v>216</v>
      </c>
      <c r="M216" s="75"/>
      <c r="N216" s="70"/>
      <c r="O216" s="77" t="s">
        <v>179</v>
      </c>
      <c r="P216" s="79">
        <v>45063.940613425926</v>
      </c>
      <c r="Q216" s="77" t="s">
        <v>799</v>
      </c>
      <c r="R216" s="77">
        <v>0</v>
      </c>
      <c r="S216" s="77">
        <v>1</v>
      </c>
      <c r="T216" s="77">
        <v>1</v>
      </c>
      <c r="U216" s="77">
        <v>0</v>
      </c>
      <c r="V216" s="77">
        <v>9</v>
      </c>
      <c r="W216" s="82" t="s">
        <v>1637</v>
      </c>
      <c r="X216" s="77"/>
      <c r="Y216" s="77"/>
      <c r="Z216" s="77"/>
      <c r="AA216" s="77" t="s">
        <v>2361</v>
      </c>
      <c r="AB216" s="77" t="s">
        <v>2713</v>
      </c>
      <c r="AC216" s="82" t="s">
        <v>2719</v>
      </c>
      <c r="AD216" s="77" t="s">
        <v>2755</v>
      </c>
      <c r="AE216" s="80" t="str">
        <f>HYPERLINK("https://twitter.com/luiswolftigre/status/1658964230182260737")</f>
        <v>https://twitter.com/luiswolftigre/status/1658964230182260737</v>
      </c>
      <c r="AF216" s="79">
        <v>45063.940613425926</v>
      </c>
      <c r="AG216" s="85">
        <v>45063</v>
      </c>
      <c r="AH216" s="82" t="s">
        <v>2973</v>
      </c>
      <c r="AI216" s="77" t="b">
        <v>0</v>
      </c>
      <c r="AJ216" s="77" t="s">
        <v>3736</v>
      </c>
      <c r="AK216" s="77" t="s">
        <v>3752</v>
      </c>
      <c r="AL216" s="77" t="s">
        <v>3755</v>
      </c>
      <c r="AM216" s="77" t="s">
        <v>3760</v>
      </c>
      <c r="AN216" s="77" t="s">
        <v>3776</v>
      </c>
      <c r="AO216" s="77" t="s">
        <v>3794</v>
      </c>
      <c r="AP216" s="77" t="s">
        <v>3808</v>
      </c>
      <c r="AQ216" s="77" t="s">
        <v>3987</v>
      </c>
      <c r="AR216" s="77">
        <v>9566</v>
      </c>
      <c r="AS216" s="77"/>
      <c r="AT216" s="77"/>
      <c r="AU216" s="77"/>
      <c r="AV216" s="80" t="str">
        <f>HYPERLINK("https://pbs.twimg.com/ext_tw_video_thumb/1658964187312189440/pu/img/blWhPKavmv-gnVAL.jpg")</f>
        <v>https://pbs.twimg.com/ext_tw_video_thumb/1658964187312189440/pu/img/blWhPKavmv-gnVAL.jpg</v>
      </c>
      <c r="AW216" s="82" t="s">
        <v>4550</v>
      </c>
      <c r="AX216" s="82" t="s">
        <v>4550</v>
      </c>
      <c r="AY216" s="77"/>
      <c r="AZ216" s="82" t="s">
        <v>5615</v>
      </c>
      <c r="BA216" s="82" t="s">
        <v>5615</v>
      </c>
      <c r="BB216" s="82" t="s">
        <v>5615</v>
      </c>
      <c r="BC216" s="82" t="s">
        <v>4550</v>
      </c>
      <c r="BD216" s="82" t="s">
        <v>5899</v>
      </c>
      <c r="BE216" s="77"/>
      <c r="BF216" s="77"/>
      <c r="BG216" s="77"/>
      <c r="BH216" s="77"/>
      <c r="BI216" s="77"/>
    </row>
    <row r="217" spans="1:61" x14ac:dyDescent="0.25">
      <c r="A217" s="62" t="s">
        <v>288</v>
      </c>
      <c r="B217" s="62" t="s">
        <v>288</v>
      </c>
      <c r="C217" s="63"/>
      <c r="D217" s="64"/>
      <c r="E217" s="65"/>
      <c r="F217" s="66"/>
      <c r="G217" s="63"/>
      <c r="H217" s="67"/>
      <c r="I217" s="68"/>
      <c r="J217" s="68"/>
      <c r="K217" s="32"/>
      <c r="L217" s="75">
        <v>217</v>
      </c>
      <c r="M217" s="75"/>
      <c r="N217" s="70"/>
      <c r="O217" s="77" t="s">
        <v>179</v>
      </c>
      <c r="P217" s="79">
        <v>45062.92324074074</v>
      </c>
      <c r="Q217" s="77" t="s">
        <v>800</v>
      </c>
      <c r="R217" s="77">
        <v>0</v>
      </c>
      <c r="S217" s="77">
        <v>0</v>
      </c>
      <c r="T217" s="77">
        <v>1</v>
      </c>
      <c r="U217" s="77">
        <v>0</v>
      </c>
      <c r="V217" s="77">
        <v>11</v>
      </c>
      <c r="W217" s="82" t="s">
        <v>1637</v>
      </c>
      <c r="X217" s="77"/>
      <c r="Y217" s="77"/>
      <c r="Z217" s="77"/>
      <c r="AA217" s="77" t="s">
        <v>2362</v>
      </c>
      <c r="AB217" s="77" t="s">
        <v>2713</v>
      </c>
      <c r="AC217" s="82" t="s">
        <v>2719</v>
      </c>
      <c r="AD217" s="77" t="s">
        <v>2755</v>
      </c>
      <c r="AE217" s="80" t="str">
        <f>HYPERLINK("https://twitter.com/luiswolftigre/status/1658595549149376512")</f>
        <v>https://twitter.com/luiswolftigre/status/1658595549149376512</v>
      </c>
      <c r="AF217" s="79">
        <v>45062.92324074074</v>
      </c>
      <c r="AG217" s="85">
        <v>45062</v>
      </c>
      <c r="AH217" s="82" t="s">
        <v>2974</v>
      </c>
      <c r="AI217" s="77" t="b">
        <v>0</v>
      </c>
      <c r="AJ217" s="77" t="s">
        <v>3736</v>
      </c>
      <c r="AK217" s="77" t="s">
        <v>3752</v>
      </c>
      <c r="AL217" s="77" t="s">
        <v>3755</v>
      </c>
      <c r="AM217" s="77" t="s">
        <v>3760</v>
      </c>
      <c r="AN217" s="77" t="s">
        <v>3776</v>
      </c>
      <c r="AO217" s="77" t="s">
        <v>3794</v>
      </c>
      <c r="AP217" s="77" t="s">
        <v>3808</v>
      </c>
      <c r="AQ217" s="77" t="s">
        <v>3988</v>
      </c>
      <c r="AR217" s="77">
        <v>9380</v>
      </c>
      <c r="AS217" s="77"/>
      <c r="AT217" s="77"/>
      <c r="AU217" s="77"/>
      <c r="AV217" s="80" t="str">
        <f>HYPERLINK("https://pbs.twimg.com/ext_tw_video_thumb/1658595499094540291/pu/img/AeOO3r8LAJyo9vod.jpg")</f>
        <v>https://pbs.twimg.com/ext_tw_video_thumb/1658595499094540291/pu/img/AeOO3r8LAJyo9vod.jpg</v>
      </c>
      <c r="AW217" s="82" t="s">
        <v>4551</v>
      </c>
      <c r="AX217" s="82" t="s">
        <v>4551</v>
      </c>
      <c r="AY217" s="77"/>
      <c r="AZ217" s="82" t="s">
        <v>5615</v>
      </c>
      <c r="BA217" s="82" t="s">
        <v>5615</v>
      </c>
      <c r="BB217" s="82" t="s">
        <v>5615</v>
      </c>
      <c r="BC217" s="82" t="s">
        <v>4551</v>
      </c>
      <c r="BD217" s="82" t="s">
        <v>5899</v>
      </c>
      <c r="BE217" s="77"/>
      <c r="BF217" s="77"/>
      <c r="BG217" s="77"/>
      <c r="BH217" s="77"/>
      <c r="BI217" s="77"/>
    </row>
    <row r="218" spans="1:61" x14ac:dyDescent="0.25">
      <c r="A218" s="62" t="s">
        <v>288</v>
      </c>
      <c r="B218" s="62" t="s">
        <v>288</v>
      </c>
      <c r="C218" s="63"/>
      <c r="D218" s="64"/>
      <c r="E218" s="65"/>
      <c r="F218" s="66"/>
      <c r="G218" s="63"/>
      <c r="H218" s="67"/>
      <c r="I218" s="68"/>
      <c r="J218" s="68"/>
      <c r="K218" s="32"/>
      <c r="L218" s="75">
        <v>218</v>
      </c>
      <c r="M218" s="75"/>
      <c r="N218" s="70"/>
      <c r="O218" s="77" t="s">
        <v>179</v>
      </c>
      <c r="P218" s="79">
        <v>45061.96434027778</v>
      </c>
      <c r="Q218" s="77" t="s">
        <v>801</v>
      </c>
      <c r="R218" s="77">
        <v>0</v>
      </c>
      <c r="S218" s="77">
        <v>1</v>
      </c>
      <c r="T218" s="77">
        <v>1</v>
      </c>
      <c r="U218" s="77">
        <v>0</v>
      </c>
      <c r="V218" s="77">
        <v>11</v>
      </c>
      <c r="W218" s="82" t="s">
        <v>1637</v>
      </c>
      <c r="X218" s="77"/>
      <c r="Y218" s="77"/>
      <c r="Z218" s="77"/>
      <c r="AA218" s="77" t="s">
        <v>2363</v>
      </c>
      <c r="AB218" s="77" t="s">
        <v>2713</v>
      </c>
      <c r="AC218" s="82" t="s">
        <v>2719</v>
      </c>
      <c r="AD218" s="77" t="s">
        <v>2752</v>
      </c>
      <c r="AE218" s="80" t="str">
        <f>HYPERLINK("https://twitter.com/luiswolftigre/status/1658248056108732417")</f>
        <v>https://twitter.com/luiswolftigre/status/1658248056108732417</v>
      </c>
      <c r="AF218" s="79">
        <v>45061.96434027778</v>
      </c>
      <c r="AG218" s="85">
        <v>45061</v>
      </c>
      <c r="AH218" s="82" t="s">
        <v>2975</v>
      </c>
      <c r="AI218" s="77" t="b">
        <v>0</v>
      </c>
      <c r="AJ218" s="77" t="s">
        <v>3736</v>
      </c>
      <c r="AK218" s="77" t="s">
        <v>3752</v>
      </c>
      <c r="AL218" s="77" t="s">
        <v>3755</v>
      </c>
      <c r="AM218" s="77" t="s">
        <v>3760</v>
      </c>
      <c r="AN218" s="77" t="s">
        <v>3776</v>
      </c>
      <c r="AO218" s="77" t="s">
        <v>3794</v>
      </c>
      <c r="AP218" s="77" t="s">
        <v>3808</v>
      </c>
      <c r="AQ218" s="77" t="s">
        <v>3989</v>
      </c>
      <c r="AR218" s="77">
        <v>6779</v>
      </c>
      <c r="AS218" s="77"/>
      <c r="AT218" s="77"/>
      <c r="AU218" s="77"/>
      <c r="AV218" s="80" t="str">
        <f>HYPERLINK("https://pbs.twimg.com/ext_tw_video_thumb/1658248028346564611/pu/img/C7JBb5qjGzhmD8te.jpg")</f>
        <v>https://pbs.twimg.com/ext_tw_video_thumb/1658248028346564611/pu/img/C7JBb5qjGzhmD8te.jpg</v>
      </c>
      <c r="AW218" s="82" t="s">
        <v>4552</v>
      </c>
      <c r="AX218" s="82" t="s">
        <v>4552</v>
      </c>
      <c r="AY218" s="77"/>
      <c r="AZ218" s="82" t="s">
        <v>5615</v>
      </c>
      <c r="BA218" s="82" t="s">
        <v>5615</v>
      </c>
      <c r="BB218" s="82" t="s">
        <v>5615</v>
      </c>
      <c r="BC218" s="82" t="s">
        <v>4552</v>
      </c>
      <c r="BD218" s="82" t="s">
        <v>5899</v>
      </c>
      <c r="BE218" s="77"/>
      <c r="BF218" s="77"/>
      <c r="BG218" s="77"/>
      <c r="BH218" s="77"/>
      <c r="BI218" s="77"/>
    </row>
    <row r="219" spans="1:61" x14ac:dyDescent="0.25">
      <c r="A219" s="62" t="s">
        <v>288</v>
      </c>
      <c r="B219" s="62" t="s">
        <v>288</v>
      </c>
      <c r="C219" s="63"/>
      <c r="D219" s="64"/>
      <c r="E219" s="65"/>
      <c r="F219" s="66"/>
      <c r="G219" s="63"/>
      <c r="H219" s="67"/>
      <c r="I219" s="68"/>
      <c r="J219" s="68"/>
      <c r="K219" s="32"/>
      <c r="L219" s="75">
        <v>219</v>
      </c>
      <c r="M219" s="75"/>
      <c r="N219" s="70"/>
      <c r="O219" s="77" t="s">
        <v>179</v>
      </c>
      <c r="P219" s="79">
        <v>45060.763194444444</v>
      </c>
      <c r="Q219" s="77" t="s">
        <v>802</v>
      </c>
      <c r="R219" s="77">
        <v>0</v>
      </c>
      <c r="S219" s="77">
        <v>1</v>
      </c>
      <c r="T219" s="77">
        <v>1</v>
      </c>
      <c r="U219" s="77">
        <v>0</v>
      </c>
      <c r="V219" s="77">
        <v>10</v>
      </c>
      <c r="W219" s="82" t="s">
        <v>1637</v>
      </c>
      <c r="X219" s="77"/>
      <c r="Y219" s="77"/>
      <c r="Z219" s="77"/>
      <c r="AA219" s="77" t="s">
        <v>2364</v>
      </c>
      <c r="AB219" s="77" t="s">
        <v>2713</v>
      </c>
      <c r="AC219" s="82" t="s">
        <v>2719</v>
      </c>
      <c r="AD219" s="77" t="s">
        <v>2755</v>
      </c>
      <c r="AE219" s="80" t="str">
        <f>HYPERLINK("https://twitter.com/luiswolftigre/status/1657812771382099982")</f>
        <v>https://twitter.com/luiswolftigre/status/1657812771382099982</v>
      </c>
      <c r="AF219" s="79">
        <v>45060.763194444444</v>
      </c>
      <c r="AG219" s="85">
        <v>45060</v>
      </c>
      <c r="AH219" s="82" t="s">
        <v>2976</v>
      </c>
      <c r="AI219" s="77" t="b">
        <v>0</v>
      </c>
      <c r="AJ219" s="77" t="s">
        <v>3736</v>
      </c>
      <c r="AK219" s="77" t="s">
        <v>3752</v>
      </c>
      <c r="AL219" s="77" t="s">
        <v>3755</v>
      </c>
      <c r="AM219" s="77" t="s">
        <v>3760</v>
      </c>
      <c r="AN219" s="77" t="s">
        <v>3776</v>
      </c>
      <c r="AO219" s="77" t="s">
        <v>3794</v>
      </c>
      <c r="AP219" s="77" t="s">
        <v>3808</v>
      </c>
      <c r="AQ219" s="77" t="s">
        <v>3990</v>
      </c>
      <c r="AR219" s="77">
        <v>8033</v>
      </c>
      <c r="AS219" s="77"/>
      <c r="AT219" s="77"/>
      <c r="AU219" s="77"/>
      <c r="AV219" s="80" t="str">
        <f>HYPERLINK("https://pbs.twimg.com/ext_tw_video_thumb/1657812732777824257/pu/img/x_InyY3wesvBlV4V.jpg")</f>
        <v>https://pbs.twimg.com/ext_tw_video_thumb/1657812732777824257/pu/img/x_InyY3wesvBlV4V.jpg</v>
      </c>
      <c r="AW219" s="82" t="s">
        <v>4553</v>
      </c>
      <c r="AX219" s="82" t="s">
        <v>4553</v>
      </c>
      <c r="AY219" s="77"/>
      <c r="AZ219" s="82" t="s">
        <v>5615</v>
      </c>
      <c r="BA219" s="82" t="s">
        <v>5615</v>
      </c>
      <c r="BB219" s="82" t="s">
        <v>5615</v>
      </c>
      <c r="BC219" s="82" t="s">
        <v>4553</v>
      </c>
      <c r="BD219" s="82" t="s">
        <v>5899</v>
      </c>
      <c r="BE219" s="77"/>
      <c r="BF219" s="77"/>
      <c r="BG219" s="77"/>
      <c r="BH219" s="77"/>
      <c r="BI219" s="77"/>
    </row>
    <row r="220" spans="1:61" x14ac:dyDescent="0.25">
      <c r="A220" s="62" t="s">
        <v>288</v>
      </c>
      <c r="B220" s="62" t="s">
        <v>288</v>
      </c>
      <c r="C220" s="63"/>
      <c r="D220" s="64"/>
      <c r="E220" s="65"/>
      <c r="F220" s="66"/>
      <c r="G220" s="63"/>
      <c r="H220" s="67"/>
      <c r="I220" s="68"/>
      <c r="J220" s="68"/>
      <c r="K220" s="32"/>
      <c r="L220" s="75">
        <v>220</v>
      </c>
      <c r="M220" s="75"/>
      <c r="N220" s="70"/>
      <c r="O220" s="77" t="s">
        <v>179</v>
      </c>
      <c r="P220" s="79">
        <v>45059.967164351852</v>
      </c>
      <c r="Q220" s="77" t="s">
        <v>803</v>
      </c>
      <c r="R220" s="77">
        <v>0</v>
      </c>
      <c r="S220" s="77">
        <v>0</v>
      </c>
      <c r="T220" s="77">
        <v>1</v>
      </c>
      <c r="U220" s="77">
        <v>0</v>
      </c>
      <c r="V220" s="77">
        <v>8</v>
      </c>
      <c r="W220" s="82" t="s">
        <v>1637</v>
      </c>
      <c r="X220" s="77"/>
      <c r="Y220" s="77"/>
      <c r="Z220" s="77"/>
      <c r="AA220" s="77" t="s">
        <v>2365</v>
      </c>
      <c r="AB220" s="77" t="s">
        <v>2713</v>
      </c>
      <c r="AC220" s="82" t="s">
        <v>2719</v>
      </c>
      <c r="AD220" s="77" t="s">
        <v>2752</v>
      </c>
      <c r="AE220" s="80" t="str">
        <f>HYPERLINK("https://twitter.com/luiswolftigre/status/1657524301979951105")</f>
        <v>https://twitter.com/luiswolftigre/status/1657524301979951105</v>
      </c>
      <c r="AF220" s="79">
        <v>45059.967164351852</v>
      </c>
      <c r="AG220" s="85">
        <v>45059</v>
      </c>
      <c r="AH220" s="82" t="s">
        <v>2977</v>
      </c>
      <c r="AI220" s="77" t="b">
        <v>0</v>
      </c>
      <c r="AJ220" s="77" t="s">
        <v>3736</v>
      </c>
      <c r="AK220" s="77" t="s">
        <v>3752</v>
      </c>
      <c r="AL220" s="77" t="s">
        <v>3755</v>
      </c>
      <c r="AM220" s="77" t="s">
        <v>3760</v>
      </c>
      <c r="AN220" s="77" t="s">
        <v>3776</v>
      </c>
      <c r="AO220" s="77" t="s">
        <v>3794</v>
      </c>
      <c r="AP220" s="77" t="s">
        <v>3808</v>
      </c>
      <c r="AQ220" s="77" t="s">
        <v>3991</v>
      </c>
      <c r="AR220" s="77">
        <v>9633</v>
      </c>
      <c r="AS220" s="77"/>
      <c r="AT220" s="77"/>
      <c r="AU220" s="77"/>
      <c r="AV220" s="80" t="str">
        <f>HYPERLINK("https://pbs.twimg.com/ext_tw_video_thumb/1657524258992472064/pu/img/tL8ZDikT7LWO9EsK.jpg")</f>
        <v>https://pbs.twimg.com/ext_tw_video_thumb/1657524258992472064/pu/img/tL8ZDikT7LWO9EsK.jpg</v>
      </c>
      <c r="AW220" s="82" t="s">
        <v>4554</v>
      </c>
      <c r="AX220" s="82" t="s">
        <v>4554</v>
      </c>
      <c r="AY220" s="77"/>
      <c r="AZ220" s="82" t="s">
        <v>5615</v>
      </c>
      <c r="BA220" s="82" t="s">
        <v>5615</v>
      </c>
      <c r="BB220" s="82" t="s">
        <v>5615</v>
      </c>
      <c r="BC220" s="82" t="s">
        <v>4554</v>
      </c>
      <c r="BD220" s="82" t="s">
        <v>5899</v>
      </c>
      <c r="BE220" s="77"/>
      <c r="BF220" s="77"/>
      <c r="BG220" s="77"/>
      <c r="BH220" s="77"/>
      <c r="BI220" s="77"/>
    </row>
    <row r="221" spans="1:61" x14ac:dyDescent="0.25">
      <c r="A221" s="62" t="s">
        <v>288</v>
      </c>
      <c r="B221" s="62" t="s">
        <v>288</v>
      </c>
      <c r="C221" s="63"/>
      <c r="D221" s="64"/>
      <c r="E221" s="65"/>
      <c r="F221" s="66"/>
      <c r="G221" s="63"/>
      <c r="H221" s="67"/>
      <c r="I221" s="68"/>
      <c r="J221" s="68"/>
      <c r="K221" s="32"/>
      <c r="L221" s="75">
        <v>221</v>
      </c>
      <c r="M221" s="75"/>
      <c r="N221" s="70"/>
      <c r="O221" s="77" t="s">
        <v>179</v>
      </c>
      <c r="P221" s="79">
        <v>45033.090509259258</v>
      </c>
      <c r="Q221" s="77" t="s">
        <v>804</v>
      </c>
      <c r="R221" s="77">
        <v>0</v>
      </c>
      <c r="S221" s="77">
        <v>1</v>
      </c>
      <c r="T221" s="77">
        <v>1</v>
      </c>
      <c r="U221" s="77">
        <v>0</v>
      </c>
      <c r="V221" s="77">
        <v>11</v>
      </c>
      <c r="W221" s="82" t="s">
        <v>1637</v>
      </c>
      <c r="X221" s="77"/>
      <c r="Y221" s="77"/>
      <c r="Z221" s="77"/>
      <c r="AA221" s="77" t="s">
        <v>2366</v>
      </c>
      <c r="AB221" s="77" t="s">
        <v>2713</v>
      </c>
      <c r="AC221" s="82" t="s">
        <v>2719</v>
      </c>
      <c r="AD221" s="77" t="s">
        <v>2752</v>
      </c>
      <c r="AE221" s="80" t="str">
        <f>HYPERLINK("https://twitter.com/luiswolftigre/status/1647784528126046209")</f>
        <v>https://twitter.com/luiswolftigre/status/1647784528126046209</v>
      </c>
      <c r="AF221" s="79">
        <v>45033.090509259258</v>
      </c>
      <c r="AG221" s="85">
        <v>45033</v>
      </c>
      <c r="AH221" s="82" t="s">
        <v>2978</v>
      </c>
      <c r="AI221" s="77" t="b">
        <v>0</v>
      </c>
      <c r="AJ221" s="77" t="s">
        <v>3736</v>
      </c>
      <c r="AK221" s="77" t="s">
        <v>3752</v>
      </c>
      <c r="AL221" s="77" t="s">
        <v>3755</v>
      </c>
      <c r="AM221" s="77" t="s">
        <v>3760</v>
      </c>
      <c r="AN221" s="77" t="s">
        <v>3776</v>
      </c>
      <c r="AO221" s="77" t="s">
        <v>3794</v>
      </c>
      <c r="AP221" s="77" t="s">
        <v>3808</v>
      </c>
      <c r="AQ221" s="77" t="s">
        <v>3992</v>
      </c>
      <c r="AR221" s="77">
        <v>10355</v>
      </c>
      <c r="AS221" s="77"/>
      <c r="AT221" s="77"/>
      <c r="AU221" s="77"/>
      <c r="AV221" s="80" t="str">
        <f>HYPERLINK("https://pbs.twimg.com/ext_tw_video_thumb/1647784471507116034/pu/img/t7tXUOjBr6bosPg-.jpg")</f>
        <v>https://pbs.twimg.com/ext_tw_video_thumb/1647784471507116034/pu/img/t7tXUOjBr6bosPg-.jpg</v>
      </c>
      <c r="AW221" s="82" t="s">
        <v>4555</v>
      </c>
      <c r="AX221" s="82" t="s">
        <v>4555</v>
      </c>
      <c r="AY221" s="77"/>
      <c r="AZ221" s="82" t="s">
        <v>5615</v>
      </c>
      <c r="BA221" s="82" t="s">
        <v>5615</v>
      </c>
      <c r="BB221" s="82" t="s">
        <v>5615</v>
      </c>
      <c r="BC221" s="82" t="s">
        <v>4555</v>
      </c>
      <c r="BD221" s="82" t="s">
        <v>5899</v>
      </c>
      <c r="BE221" s="77"/>
      <c r="BF221" s="77"/>
      <c r="BG221" s="77"/>
      <c r="BH221" s="77"/>
      <c r="BI221" s="77"/>
    </row>
    <row r="222" spans="1:61" x14ac:dyDescent="0.25">
      <c r="A222" s="62" t="s">
        <v>288</v>
      </c>
      <c r="B222" s="62" t="s">
        <v>288</v>
      </c>
      <c r="C222" s="63"/>
      <c r="D222" s="64"/>
      <c r="E222" s="65"/>
      <c r="F222" s="66"/>
      <c r="G222" s="63"/>
      <c r="H222" s="67"/>
      <c r="I222" s="68"/>
      <c r="J222" s="68"/>
      <c r="K222" s="32"/>
      <c r="L222" s="75">
        <v>222</v>
      </c>
      <c r="M222" s="75"/>
      <c r="N222" s="70"/>
      <c r="O222" s="77" t="s">
        <v>179</v>
      </c>
      <c r="P222" s="79">
        <v>45031.851469907408</v>
      </c>
      <c r="Q222" s="77" t="s">
        <v>805</v>
      </c>
      <c r="R222" s="77">
        <v>0</v>
      </c>
      <c r="S222" s="77">
        <v>1</v>
      </c>
      <c r="T222" s="77">
        <v>1</v>
      </c>
      <c r="U222" s="77">
        <v>0</v>
      </c>
      <c r="V222" s="77">
        <v>10</v>
      </c>
      <c r="W222" s="82" t="s">
        <v>1637</v>
      </c>
      <c r="X222" s="77"/>
      <c r="Y222" s="77"/>
      <c r="Z222" s="77"/>
      <c r="AA222" s="77" t="s">
        <v>2367</v>
      </c>
      <c r="AB222" s="77" t="s">
        <v>2713</v>
      </c>
      <c r="AC222" s="82" t="s">
        <v>2719</v>
      </c>
      <c r="AD222" s="77" t="s">
        <v>2755</v>
      </c>
      <c r="AE222" s="80" t="str">
        <f>HYPERLINK("https://twitter.com/luiswolftigre/status/1647335514981163012")</f>
        <v>https://twitter.com/luiswolftigre/status/1647335514981163012</v>
      </c>
      <c r="AF222" s="79">
        <v>45031.851469907408</v>
      </c>
      <c r="AG222" s="85">
        <v>45031</v>
      </c>
      <c r="AH222" s="82" t="s">
        <v>2979</v>
      </c>
      <c r="AI222" s="77" t="b">
        <v>0</v>
      </c>
      <c r="AJ222" s="77" t="s">
        <v>3736</v>
      </c>
      <c r="AK222" s="77" t="s">
        <v>3752</v>
      </c>
      <c r="AL222" s="77" t="s">
        <v>3755</v>
      </c>
      <c r="AM222" s="77" t="s">
        <v>3760</v>
      </c>
      <c r="AN222" s="77" t="s">
        <v>3776</v>
      </c>
      <c r="AO222" s="77" t="s">
        <v>3794</v>
      </c>
      <c r="AP222" s="77" t="s">
        <v>3808</v>
      </c>
      <c r="AQ222" s="77" t="s">
        <v>3993</v>
      </c>
      <c r="AR222" s="77">
        <v>9055</v>
      </c>
      <c r="AS222" s="77"/>
      <c r="AT222" s="77"/>
      <c r="AU222" s="77"/>
      <c r="AV222" s="80" t="str">
        <f>HYPERLINK("https://pbs.twimg.com/ext_tw_video_thumb/1647335475974209538/pu/img/oTWEBPMwVEHfwfuP.jpg")</f>
        <v>https://pbs.twimg.com/ext_tw_video_thumb/1647335475974209538/pu/img/oTWEBPMwVEHfwfuP.jpg</v>
      </c>
      <c r="AW222" s="82" t="s">
        <v>4556</v>
      </c>
      <c r="AX222" s="82" t="s">
        <v>4556</v>
      </c>
      <c r="AY222" s="77"/>
      <c r="AZ222" s="82" t="s">
        <v>5615</v>
      </c>
      <c r="BA222" s="82" t="s">
        <v>5615</v>
      </c>
      <c r="BB222" s="82" t="s">
        <v>5615</v>
      </c>
      <c r="BC222" s="82" t="s">
        <v>4556</v>
      </c>
      <c r="BD222" s="82" t="s">
        <v>5899</v>
      </c>
      <c r="BE222" s="77"/>
      <c r="BF222" s="77"/>
      <c r="BG222" s="77"/>
      <c r="BH222" s="77"/>
      <c r="BI222" s="77"/>
    </row>
    <row r="223" spans="1:61" x14ac:dyDescent="0.25">
      <c r="A223" s="62" t="s">
        <v>288</v>
      </c>
      <c r="B223" s="62" t="s">
        <v>288</v>
      </c>
      <c r="C223" s="63"/>
      <c r="D223" s="64"/>
      <c r="E223" s="65"/>
      <c r="F223" s="66"/>
      <c r="G223" s="63"/>
      <c r="H223" s="67"/>
      <c r="I223" s="68"/>
      <c r="J223" s="68"/>
      <c r="K223" s="32"/>
      <c r="L223" s="75">
        <v>223</v>
      </c>
      <c r="M223" s="75"/>
      <c r="N223" s="70"/>
      <c r="O223" s="77" t="s">
        <v>179</v>
      </c>
      <c r="P223" s="79">
        <v>45030.975127314814</v>
      </c>
      <c r="Q223" s="77" t="s">
        <v>806</v>
      </c>
      <c r="R223" s="77">
        <v>0</v>
      </c>
      <c r="S223" s="77">
        <v>1</v>
      </c>
      <c r="T223" s="77">
        <v>1</v>
      </c>
      <c r="U223" s="77">
        <v>0</v>
      </c>
      <c r="V223" s="77">
        <v>10</v>
      </c>
      <c r="W223" s="82" t="s">
        <v>1637</v>
      </c>
      <c r="X223" s="77"/>
      <c r="Y223" s="77"/>
      <c r="Z223" s="77"/>
      <c r="AA223" s="77" t="s">
        <v>2368</v>
      </c>
      <c r="AB223" s="77" t="s">
        <v>2713</v>
      </c>
      <c r="AC223" s="82" t="s">
        <v>2719</v>
      </c>
      <c r="AD223" s="77" t="s">
        <v>2752</v>
      </c>
      <c r="AE223" s="80" t="str">
        <f>HYPERLINK("https://twitter.com/luiswolftigre/status/1647017940766556161")</f>
        <v>https://twitter.com/luiswolftigre/status/1647017940766556161</v>
      </c>
      <c r="AF223" s="79">
        <v>45030.975127314814</v>
      </c>
      <c r="AG223" s="85">
        <v>45030</v>
      </c>
      <c r="AH223" s="82" t="s">
        <v>2980</v>
      </c>
      <c r="AI223" s="77" t="b">
        <v>0</v>
      </c>
      <c r="AJ223" s="77" t="s">
        <v>3736</v>
      </c>
      <c r="AK223" s="77" t="s">
        <v>3752</v>
      </c>
      <c r="AL223" s="77" t="s">
        <v>3755</v>
      </c>
      <c r="AM223" s="77" t="s">
        <v>3760</v>
      </c>
      <c r="AN223" s="77" t="s">
        <v>3776</v>
      </c>
      <c r="AO223" s="77" t="s">
        <v>3794</v>
      </c>
      <c r="AP223" s="77" t="s">
        <v>3808</v>
      </c>
      <c r="AQ223" s="77" t="s">
        <v>3994</v>
      </c>
      <c r="AR223" s="77">
        <v>8544</v>
      </c>
      <c r="AS223" s="77"/>
      <c r="AT223" s="77"/>
      <c r="AU223" s="77"/>
      <c r="AV223" s="80" t="str">
        <f>HYPERLINK("https://pbs.twimg.com/ext_tw_video_thumb/1647017904070705156/pu/img/BnafvMM5im1Kwiyq.jpg")</f>
        <v>https://pbs.twimg.com/ext_tw_video_thumb/1647017904070705156/pu/img/BnafvMM5im1Kwiyq.jpg</v>
      </c>
      <c r="AW223" s="82" t="s">
        <v>4557</v>
      </c>
      <c r="AX223" s="82" t="s">
        <v>4557</v>
      </c>
      <c r="AY223" s="77"/>
      <c r="AZ223" s="82" t="s">
        <v>5615</v>
      </c>
      <c r="BA223" s="82" t="s">
        <v>5615</v>
      </c>
      <c r="BB223" s="82" t="s">
        <v>5615</v>
      </c>
      <c r="BC223" s="82" t="s">
        <v>4557</v>
      </c>
      <c r="BD223" s="82" t="s">
        <v>5899</v>
      </c>
      <c r="BE223" s="77"/>
      <c r="BF223" s="77"/>
      <c r="BG223" s="77"/>
      <c r="BH223" s="77"/>
      <c r="BI223" s="77"/>
    </row>
    <row r="224" spans="1:61" x14ac:dyDescent="0.25">
      <c r="A224" s="62" t="s">
        <v>288</v>
      </c>
      <c r="B224" s="62" t="s">
        <v>288</v>
      </c>
      <c r="C224" s="63"/>
      <c r="D224" s="64"/>
      <c r="E224" s="65"/>
      <c r="F224" s="66"/>
      <c r="G224" s="63"/>
      <c r="H224" s="67"/>
      <c r="I224" s="68"/>
      <c r="J224" s="68"/>
      <c r="K224" s="32"/>
      <c r="L224" s="75">
        <v>224</v>
      </c>
      <c r="M224" s="75"/>
      <c r="N224" s="70"/>
      <c r="O224" s="77" t="s">
        <v>179</v>
      </c>
      <c r="P224" s="79">
        <v>45029.990601851852</v>
      </c>
      <c r="Q224" s="77" t="s">
        <v>807</v>
      </c>
      <c r="R224" s="77">
        <v>0</v>
      </c>
      <c r="S224" s="77">
        <v>1</v>
      </c>
      <c r="T224" s="77">
        <v>1</v>
      </c>
      <c r="U224" s="77">
        <v>0</v>
      </c>
      <c r="V224" s="77">
        <v>16</v>
      </c>
      <c r="W224" s="82" t="s">
        <v>1637</v>
      </c>
      <c r="X224" s="77"/>
      <c r="Y224" s="77"/>
      <c r="Z224" s="77"/>
      <c r="AA224" s="77" t="s">
        <v>2369</v>
      </c>
      <c r="AB224" s="77" t="s">
        <v>2713</v>
      </c>
      <c r="AC224" s="82" t="s">
        <v>2719</v>
      </c>
      <c r="AD224" s="77" t="s">
        <v>2752</v>
      </c>
      <c r="AE224" s="80" t="str">
        <f>HYPERLINK("https://twitter.com/luiswolftigre/status/1646661158382845957")</f>
        <v>https://twitter.com/luiswolftigre/status/1646661158382845957</v>
      </c>
      <c r="AF224" s="79">
        <v>45029.990601851852</v>
      </c>
      <c r="AG224" s="85">
        <v>45029</v>
      </c>
      <c r="AH224" s="82" t="s">
        <v>2981</v>
      </c>
      <c r="AI224" s="77" t="b">
        <v>0</v>
      </c>
      <c r="AJ224" s="77" t="s">
        <v>3736</v>
      </c>
      <c r="AK224" s="77" t="s">
        <v>3752</v>
      </c>
      <c r="AL224" s="77" t="s">
        <v>3755</v>
      </c>
      <c r="AM224" s="77" t="s">
        <v>3760</v>
      </c>
      <c r="AN224" s="77" t="s">
        <v>3776</v>
      </c>
      <c r="AO224" s="77" t="s">
        <v>3794</v>
      </c>
      <c r="AP224" s="77" t="s">
        <v>3808</v>
      </c>
      <c r="AQ224" s="77" t="s">
        <v>3995</v>
      </c>
      <c r="AR224" s="77">
        <v>16206</v>
      </c>
      <c r="AS224" s="77"/>
      <c r="AT224" s="77"/>
      <c r="AU224" s="77"/>
      <c r="AV224" s="80" t="str">
        <f>HYPERLINK("https://pbs.twimg.com/ext_tw_video_thumb/1646661093681512452/pu/img/A-bXsStl5bgDPa9q.jpg")</f>
        <v>https://pbs.twimg.com/ext_tw_video_thumb/1646661093681512452/pu/img/A-bXsStl5bgDPa9q.jpg</v>
      </c>
      <c r="AW224" s="82" t="s">
        <v>4558</v>
      </c>
      <c r="AX224" s="82" t="s">
        <v>4558</v>
      </c>
      <c r="AY224" s="77"/>
      <c r="AZ224" s="82" t="s">
        <v>5615</v>
      </c>
      <c r="BA224" s="82" t="s">
        <v>5615</v>
      </c>
      <c r="BB224" s="82" t="s">
        <v>5615</v>
      </c>
      <c r="BC224" s="82" t="s">
        <v>4558</v>
      </c>
      <c r="BD224" s="82" t="s">
        <v>5899</v>
      </c>
      <c r="BE224" s="77"/>
      <c r="BF224" s="77"/>
      <c r="BG224" s="77"/>
      <c r="BH224" s="77"/>
      <c r="BI224" s="77"/>
    </row>
    <row r="225" spans="1:61" x14ac:dyDescent="0.25">
      <c r="A225" s="62" t="s">
        <v>288</v>
      </c>
      <c r="B225" s="62" t="s">
        <v>288</v>
      </c>
      <c r="C225" s="63"/>
      <c r="D225" s="64"/>
      <c r="E225" s="65"/>
      <c r="F225" s="66"/>
      <c r="G225" s="63"/>
      <c r="H225" s="67"/>
      <c r="I225" s="68"/>
      <c r="J225" s="68"/>
      <c r="K225" s="32"/>
      <c r="L225" s="75">
        <v>225</v>
      </c>
      <c r="M225" s="75"/>
      <c r="N225" s="70"/>
      <c r="O225" s="77" t="s">
        <v>179</v>
      </c>
      <c r="P225" s="79">
        <v>45028.977835648147</v>
      </c>
      <c r="Q225" s="77" t="s">
        <v>808</v>
      </c>
      <c r="R225" s="77">
        <v>0</v>
      </c>
      <c r="S225" s="77">
        <v>2</v>
      </c>
      <c r="T225" s="77">
        <v>1</v>
      </c>
      <c r="U225" s="77">
        <v>0</v>
      </c>
      <c r="V225" s="77">
        <v>13</v>
      </c>
      <c r="W225" s="82" t="s">
        <v>1637</v>
      </c>
      <c r="X225" s="77"/>
      <c r="Y225" s="77"/>
      <c r="Z225" s="77"/>
      <c r="AA225" s="77" t="s">
        <v>2370</v>
      </c>
      <c r="AB225" s="77" t="s">
        <v>2713</v>
      </c>
      <c r="AC225" s="82" t="s">
        <v>2719</v>
      </c>
      <c r="AD225" s="77" t="s">
        <v>2752</v>
      </c>
      <c r="AE225" s="80" t="str">
        <f>HYPERLINK("https://twitter.com/luiswolftigre/status/1646294145655291908")</f>
        <v>https://twitter.com/luiswolftigre/status/1646294145655291908</v>
      </c>
      <c r="AF225" s="79">
        <v>45028.977835648147</v>
      </c>
      <c r="AG225" s="85">
        <v>45028</v>
      </c>
      <c r="AH225" s="82" t="s">
        <v>2982</v>
      </c>
      <c r="AI225" s="77" t="b">
        <v>0</v>
      </c>
      <c r="AJ225" s="77" t="s">
        <v>3736</v>
      </c>
      <c r="AK225" s="77" t="s">
        <v>3752</v>
      </c>
      <c r="AL225" s="77" t="s">
        <v>3755</v>
      </c>
      <c r="AM225" s="77" t="s">
        <v>3760</v>
      </c>
      <c r="AN225" s="77" t="s">
        <v>3776</v>
      </c>
      <c r="AO225" s="77" t="s">
        <v>3794</v>
      </c>
      <c r="AP225" s="77" t="s">
        <v>3808</v>
      </c>
      <c r="AQ225" s="77" t="s">
        <v>3996</v>
      </c>
      <c r="AR225" s="77">
        <v>6849</v>
      </c>
      <c r="AS225" s="77"/>
      <c r="AT225" s="77"/>
      <c r="AU225" s="77"/>
      <c r="AV225" s="80" t="str">
        <f>HYPERLINK("https://pbs.twimg.com/ext_tw_video_thumb/1646294109429039104/pu/img/71MOAeXAunAmJ_l2.jpg")</f>
        <v>https://pbs.twimg.com/ext_tw_video_thumb/1646294109429039104/pu/img/71MOAeXAunAmJ_l2.jpg</v>
      </c>
      <c r="AW225" s="82" t="s">
        <v>4559</v>
      </c>
      <c r="AX225" s="82" t="s">
        <v>4559</v>
      </c>
      <c r="AY225" s="77"/>
      <c r="AZ225" s="82" t="s">
        <v>5615</v>
      </c>
      <c r="BA225" s="82" t="s">
        <v>5615</v>
      </c>
      <c r="BB225" s="82" t="s">
        <v>5615</v>
      </c>
      <c r="BC225" s="82" t="s">
        <v>4559</v>
      </c>
      <c r="BD225" s="82" t="s">
        <v>5899</v>
      </c>
      <c r="BE225" s="77"/>
      <c r="BF225" s="77"/>
      <c r="BG225" s="77"/>
      <c r="BH225" s="77"/>
      <c r="BI225" s="77"/>
    </row>
    <row r="226" spans="1:61" x14ac:dyDescent="0.25">
      <c r="A226" s="62" t="s">
        <v>288</v>
      </c>
      <c r="B226" s="62" t="s">
        <v>288</v>
      </c>
      <c r="C226" s="63"/>
      <c r="D226" s="64"/>
      <c r="E226" s="65"/>
      <c r="F226" s="66"/>
      <c r="G226" s="63"/>
      <c r="H226" s="67"/>
      <c r="I226" s="68"/>
      <c r="J226" s="68"/>
      <c r="K226" s="32"/>
      <c r="L226" s="75">
        <v>226</v>
      </c>
      <c r="M226" s="75"/>
      <c r="N226" s="70"/>
      <c r="O226" s="77" t="s">
        <v>179</v>
      </c>
      <c r="P226" s="79">
        <v>45027.941157407404</v>
      </c>
      <c r="Q226" s="77" t="s">
        <v>809</v>
      </c>
      <c r="R226" s="77">
        <v>0</v>
      </c>
      <c r="S226" s="77">
        <v>1</v>
      </c>
      <c r="T226" s="77">
        <v>1</v>
      </c>
      <c r="U226" s="77">
        <v>0</v>
      </c>
      <c r="V226" s="77">
        <v>8</v>
      </c>
      <c r="W226" s="82" t="s">
        <v>1639</v>
      </c>
      <c r="X226" s="77"/>
      <c r="Y226" s="77"/>
      <c r="Z226" s="77"/>
      <c r="AA226" s="77" t="s">
        <v>2371</v>
      </c>
      <c r="AB226" s="77" t="s">
        <v>2713</v>
      </c>
      <c r="AC226" s="82" t="s">
        <v>2719</v>
      </c>
      <c r="AD226" s="77" t="s">
        <v>2752</v>
      </c>
      <c r="AE226" s="80" t="str">
        <f>HYPERLINK("https://twitter.com/luiswolftigre/status/1645918464446541824")</f>
        <v>https://twitter.com/luiswolftigre/status/1645918464446541824</v>
      </c>
      <c r="AF226" s="79">
        <v>45027.941157407404</v>
      </c>
      <c r="AG226" s="85">
        <v>45027</v>
      </c>
      <c r="AH226" s="82" t="s">
        <v>2983</v>
      </c>
      <c r="AI226" s="77" t="b">
        <v>0</v>
      </c>
      <c r="AJ226" s="77" t="s">
        <v>3736</v>
      </c>
      <c r="AK226" s="77" t="s">
        <v>3752</v>
      </c>
      <c r="AL226" s="77" t="s">
        <v>3755</v>
      </c>
      <c r="AM226" s="77" t="s">
        <v>3760</v>
      </c>
      <c r="AN226" s="77" t="s">
        <v>3776</v>
      </c>
      <c r="AO226" s="77" t="s">
        <v>3794</v>
      </c>
      <c r="AP226" s="77" t="s">
        <v>3808</v>
      </c>
      <c r="AQ226" s="77" t="s">
        <v>3997</v>
      </c>
      <c r="AR226" s="77">
        <v>17066</v>
      </c>
      <c r="AS226" s="77"/>
      <c r="AT226" s="77"/>
      <c r="AU226" s="77"/>
      <c r="AV226" s="80" t="str">
        <f>HYPERLINK("https://pbs.twimg.com/ext_tw_video_thumb/1645918271139373058/pu/img/f5F560anPPE5TFXm.jpg")</f>
        <v>https://pbs.twimg.com/ext_tw_video_thumb/1645918271139373058/pu/img/f5F560anPPE5TFXm.jpg</v>
      </c>
      <c r="AW226" s="82" t="s">
        <v>4560</v>
      </c>
      <c r="AX226" s="82" t="s">
        <v>4560</v>
      </c>
      <c r="AY226" s="77"/>
      <c r="AZ226" s="82" t="s">
        <v>5615</v>
      </c>
      <c r="BA226" s="82" t="s">
        <v>5615</v>
      </c>
      <c r="BB226" s="82" t="s">
        <v>5615</v>
      </c>
      <c r="BC226" s="82" t="s">
        <v>4560</v>
      </c>
      <c r="BD226" s="82" t="s">
        <v>5899</v>
      </c>
      <c r="BE226" s="77"/>
      <c r="BF226" s="77"/>
      <c r="BG226" s="77"/>
      <c r="BH226" s="77"/>
      <c r="BI226" s="77"/>
    </row>
    <row r="227" spans="1:61" x14ac:dyDescent="0.25">
      <c r="A227" s="62" t="s">
        <v>288</v>
      </c>
      <c r="B227" s="62" t="s">
        <v>288</v>
      </c>
      <c r="C227" s="63"/>
      <c r="D227" s="64"/>
      <c r="E227" s="65"/>
      <c r="F227" s="66"/>
      <c r="G227" s="63"/>
      <c r="H227" s="67"/>
      <c r="I227" s="68"/>
      <c r="J227" s="68"/>
      <c r="K227" s="32"/>
      <c r="L227" s="75">
        <v>227</v>
      </c>
      <c r="M227" s="75"/>
      <c r="N227" s="70"/>
      <c r="O227" s="77" t="s">
        <v>179</v>
      </c>
      <c r="P227" s="79">
        <v>45026.925138888888</v>
      </c>
      <c r="Q227" s="77" t="s">
        <v>810</v>
      </c>
      <c r="R227" s="77">
        <v>0</v>
      </c>
      <c r="S227" s="77">
        <v>1</v>
      </c>
      <c r="T227" s="77">
        <v>1</v>
      </c>
      <c r="U227" s="77">
        <v>0</v>
      </c>
      <c r="V227" s="77">
        <v>24</v>
      </c>
      <c r="W227" s="82" t="s">
        <v>1637</v>
      </c>
      <c r="X227" s="77"/>
      <c r="Y227" s="77"/>
      <c r="Z227" s="77"/>
      <c r="AA227" s="77" t="s">
        <v>2372</v>
      </c>
      <c r="AB227" s="77" t="s">
        <v>2713</v>
      </c>
      <c r="AC227" s="82" t="s">
        <v>2719</v>
      </c>
      <c r="AD227" s="77" t="s">
        <v>2752</v>
      </c>
      <c r="AE227" s="80" t="str">
        <f>HYPERLINK("https://twitter.com/luiswolftigre/status/1645550271324463105")</f>
        <v>https://twitter.com/luiswolftigre/status/1645550271324463105</v>
      </c>
      <c r="AF227" s="79">
        <v>45026.925138888888</v>
      </c>
      <c r="AG227" s="85">
        <v>45026</v>
      </c>
      <c r="AH227" s="82" t="s">
        <v>2984</v>
      </c>
      <c r="AI227" s="77" t="b">
        <v>0</v>
      </c>
      <c r="AJ227" s="77" t="s">
        <v>3736</v>
      </c>
      <c r="AK227" s="77" t="s">
        <v>3752</v>
      </c>
      <c r="AL227" s="77" t="s">
        <v>3755</v>
      </c>
      <c r="AM227" s="77" t="s">
        <v>3760</v>
      </c>
      <c r="AN227" s="77" t="s">
        <v>3776</v>
      </c>
      <c r="AO227" s="77" t="s">
        <v>3794</v>
      </c>
      <c r="AP227" s="77" t="s">
        <v>3808</v>
      </c>
      <c r="AQ227" s="77" t="s">
        <v>3998</v>
      </c>
      <c r="AR227" s="77">
        <v>16787</v>
      </c>
      <c r="AS227" s="77"/>
      <c r="AT227" s="77"/>
      <c r="AU227" s="77"/>
      <c r="AV227" s="80" t="str">
        <f>HYPERLINK("https://pbs.twimg.com/ext_tw_video_thumb/1645550220120293382/pu/img/7T_TuP84uCdHyC-M.jpg")</f>
        <v>https://pbs.twimg.com/ext_tw_video_thumb/1645550220120293382/pu/img/7T_TuP84uCdHyC-M.jpg</v>
      </c>
      <c r="AW227" s="82" t="s">
        <v>4561</v>
      </c>
      <c r="AX227" s="82" t="s">
        <v>4561</v>
      </c>
      <c r="AY227" s="77"/>
      <c r="AZ227" s="82" t="s">
        <v>5615</v>
      </c>
      <c r="BA227" s="82" t="s">
        <v>5615</v>
      </c>
      <c r="BB227" s="82" t="s">
        <v>5615</v>
      </c>
      <c r="BC227" s="82" t="s">
        <v>4561</v>
      </c>
      <c r="BD227" s="82" t="s">
        <v>5899</v>
      </c>
      <c r="BE227" s="77"/>
      <c r="BF227" s="77"/>
      <c r="BG227" s="77"/>
      <c r="BH227" s="77"/>
      <c r="BI227" s="77"/>
    </row>
    <row r="228" spans="1:61" x14ac:dyDescent="0.25">
      <c r="A228" s="62" t="s">
        <v>288</v>
      </c>
      <c r="B228" s="62" t="s">
        <v>288</v>
      </c>
      <c r="C228" s="63"/>
      <c r="D228" s="64"/>
      <c r="E228" s="65"/>
      <c r="F228" s="66"/>
      <c r="G228" s="63"/>
      <c r="H228" s="67"/>
      <c r="I228" s="68"/>
      <c r="J228" s="68"/>
      <c r="K228" s="32"/>
      <c r="L228" s="75">
        <v>228</v>
      </c>
      <c r="M228" s="75"/>
      <c r="N228" s="70"/>
      <c r="O228" s="77" t="s">
        <v>179</v>
      </c>
      <c r="P228" s="79">
        <v>45025.787905092591</v>
      </c>
      <c r="Q228" s="77" t="s">
        <v>811</v>
      </c>
      <c r="R228" s="77">
        <v>0</v>
      </c>
      <c r="S228" s="77">
        <v>1</v>
      </c>
      <c r="T228" s="77">
        <v>1</v>
      </c>
      <c r="U228" s="77">
        <v>0</v>
      </c>
      <c r="V228" s="77">
        <v>24</v>
      </c>
      <c r="W228" s="82" t="s">
        <v>1638</v>
      </c>
      <c r="X228" s="77"/>
      <c r="Y228" s="77"/>
      <c r="Z228" s="77"/>
      <c r="AA228" s="77" t="s">
        <v>2373</v>
      </c>
      <c r="AB228" s="77" t="s">
        <v>2713</v>
      </c>
      <c r="AC228" s="82" t="s">
        <v>2719</v>
      </c>
      <c r="AD228" s="77" t="s">
        <v>2752</v>
      </c>
      <c r="AE228" s="80" t="str">
        <f>HYPERLINK("https://twitter.com/luiswolftigre/status/1645138154989445120")</f>
        <v>https://twitter.com/luiswolftigre/status/1645138154989445120</v>
      </c>
      <c r="AF228" s="79">
        <v>45025.787905092591</v>
      </c>
      <c r="AG228" s="85">
        <v>45025</v>
      </c>
      <c r="AH228" s="82" t="s">
        <v>2985</v>
      </c>
      <c r="AI228" s="77" t="b">
        <v>0</v>
      </c>
      <c r="AJ228" s="77" t="s">
        <v>3736</v>
      </c>
      <c r="AK228" s="77" t="s">
        <v>3752</v>
      </c>
      <c r="AL228" s="77" t="s">
        <v>3755</v>
      </c>
      <c r="AM228" s="77" t="s">
        <v>3760</v>
      </c>
      <c r="AN228" s="77" t="s">
        <v>3776</v>
      </c>
      <c r="AO228" s="77" t="s">
        <v>3794</v>
      </c>
      <c r="AP228" s="77" t="s">
        <v>3808</v>
      </c>
      <c r="AQ228" s="77" t="s">
        <v>3999</v>
      </c>
      <c r="AR228" s="77">
        <v>16300</v>
      </c>
      <c r="AS228" s="77"/>
      <c r="AT228" s="77"/>
      <c r="AU228" s="77"/>
      <c r="AV228" s="80" t="str">
        <f>HYPERLINK("https://pbs.twimg.com/ext_tw_video_thumb/1645138101516357635/pu/img/4qwwzof45yFvBY6c.jpg")</f>
        <v>https://pbs.twimg.com/ext_tw_video_thumb/1645138101516357635/pu/img/4qwwzof45yFvBY6c.jpg</v>
      </c>
      <c r="AW228" s="82" t="s">
        <v>4562</v>
      </c>
      <c r="AX228" s="82" t="s">
        <v>4562</v>
      </c>
      <c r="AY228" s="77"/>
      <c r="AZ228" s="82" t="s">
        <v>5615</v>
      </c>
      <c r="BA228" s="82" t="s">
        <v>5615</v>
      </c>
      <c r="BB228" s="82" t="s">
        <v>5615</v>
      </c>
      <c r="BC228" s="82" t="s">
        <v>4562</v>
      </c>
      <c r="BD228" s="82" t="s">
        <v>5899</v>
      </c>
      <c r="BE228" s="77"/>
      <c r="BF228" s="77"/>
      <c r="BG228" s="77"/>
      <c r="BH228" s="77"/>
      <c r="BI228" s="77"/>
    </row>
    <row r="229" spans="1:61" x14ac:dyDescent="0.25">
      <c r="A229" s="62" t="s">
        <v>288</v>
      </c>
      <c r="B229" s="62" t="s">
        <v>288</v>
      </c>
      <c r="C229" s="63"/>
      <c r="D229" s="64"/>
      <c r="E229" s="65"/>
      <c r="F229" s="66"/>
      <c r="G229" s="63"/>
      <c r="H229" s="67"/>
      <c r="I229" s="68"/>
      <c r="J229" s="68"/>
      <c r="K229" s="32"/>
      <c r="L229" s="75">
        <v>229</v>
      </c>
      <c r="M229" s="75"/>
      <c r="N229" s="70"/>
      <c r="O229" s="77" t="s">
        <v>179</v>
      </c>
      <c r="P229" s="79">
        <v>45025.031782407408</v>
      </c>
      <c r="Q229" s="77" t="s">
        <v>812</v>
      </c>
      <c r="R229" s="77">
        <v>0</v>
      </c>
      <c r="S229" s="77">
        <v>1</v>
      </c>
      <c r="T229" s="77">
        <v>1</v>
      </c>
      <c r="U229" s="77">
        <v>0</v>
      </c>
      <c r="V229" s="77">
        <v>23</v>
      </c>
      <c r="W229" s="82" t="s">
        <v>1638</v>
      </c>
      <c r="X229" s="77"/>
      <c r="Y229" s="77"/>
      <c r="Z229" s="77"/>
      <c r="AA229" s="77" t="s">
        <v>2374</v>
      </c>
      <c r="AB229" s="77" t="s">
        <v>2713</v>
      </c>
      <c r="AC229" s="82" t="s">
        <v>2719</v>
      </c>
      <c r="AD229" s="77" t="s">
        <v>2752</v>
      </c>
      <c r="AE229" s="80" t="str">
        <f>HYPERLINK("https://twitter.com/luiswolftigre/status/1644864142220615680")</f>
        <v>https://twitter.com/luiswolftigre/status/1644864142220615680</v>
      </c>
      <c r="AF229" s="79">
        <v>45025.031782407408</v>
      </c>
      <c r="AG229" s="85">
        <v>45025</v>
      </c>
      <c r="AH229" s="82" t="s">
        <v>2986</v>
      </c>
      <c r="AI229" s="77" t="b">
        <v>0</v>
      </c>
      <c r="AJ229" s="77" t="s">
        <v>3736</v>
      </c>
      <c r="AK229" s="77" t="s">
        <v>3752</v>
      </c>
      <c r="AL229" s="77" t="s">
        <v>3755</v>
      </c>
      <c r="AM229" s="77" t="s">
        <v>3760</v>
      </c>
      <c r="AN229" s="77" t="s">
        <v>3776</v>
      </c>
      <c r="AO229" s="77" t="s">
        <v>3794</v>
      </c>
      <c r="AP229" s="77" t="s">
        <v>3808</v>
      </c>
      <c r="AQ229" s="77" t="s">
        <v>4000</v>
      </c>
      <c r="AR229" s="77">
        <v>20038</v>
      </c>
      <c r="AS229" s="77"/>
      <c r="AT229" s="77"/>
      <c r="AU229" s="77"/>
      <c r="AV229" s="80" t="str">
        <f>HYPERLINK("https://pbs.twimg.com/ext_tw_video_thumb/1644864079180320773/pu/img/tsyyLsAmtlTE5BlD.jpg")</f>
        <v>https://pbs.twimg.com/ext_tw_video_thumb/1644864079180320773/pu/img/tsyyLsAmtlTE5BlD.jpg</v>
      </c>
      <c r="AW229" s="82" t="s">
        <v>4563</v>
      </c>
      <c r="AX229" s="82" t="s">
        <v>4563</v>
      </c>
      <c r="AY229" s="77"/>
      <c r="AZ229" s="82" t="s">
        <v>5615</v>
      </c>
      <c r="BA229" s="82" t="s">
        <v>5615</v>
      </c>
      <c r="BB229" s="82" t="s">
        <v>5615</v>
      </c>
      <c r="BC229" s="82" t="s">
        <v>4563</v>
      </c>
      <c r="BD229" s="82" t="s">
        <v>5899</v>
      </c>
      <c r="BE229" s="77"/>
      <c r="BF229" s="77"/>
      <c r="BG229" s="77"/>
      <c r="BH229" s="77"/>
      <c r="BI229" s="77"/>
    </row>
    <row r="230" spans="1:61" x14ac:dyDescent="0.25">
      <c r="A230" s="62" t="s">
        <v>288</v>
      </c>
      <c r="B230" s="62" t="s">
        <v>288</v>
      </c>
      <c r="C230" s="63"/>
      <c r="D230" s="64"/>
      <c r="E230" s="65"/>
      <c r="F230" s="66"/>
      <c r="G230" s="63"/>
      <c r="H230" s="67"/>
      <c r="I230" s="68"/>
      <c r="J230" s="68"/>
      <c r="K230" s="32"/>
      <c r="L230" s="75">
        <v>230</v>
      </c>
      <c r="M230" s="75"/>
      <c r="N230" s="70"/>
      <c r="O230" s="77" t="s">
        <v>179</v>
      </c>
      <c r="P230" s="79">
        <v>45024.895451388889</v>
      </c>
      <c r="Q230" s="77" t="s">
        <v>813</v>
      </c>
      <c r="R230" s="77">
        <v>0</v>
      </c>
      <c r="S230" s="77">
        <v>1</v>
      </c>
      <c r="T230" s="77">
        <v>1</v>
      </c>
      <c r="U230" s="77">
        <v>0</v>
      </c>
      <c r="V230" s="77">
        <v>20</v>
      </c>
      <c r="W230" s="82" t="s">
        <v>1638</v>
      </c>
      <c r="X230" s="77"/>
      <c r="Y230" s="77"/>
      <c r="Z230" s="77"/>
      <c r="AA230" s="77" t="s">
        <v>2375</v>
      </c>
      <c r="AB230" s="77" t="s">
        <v>2713</v>
      </c>
      <c r="AC230" s="82" t="s">
        <v>2719</v>
      </c>
      <c r="AD230" s="77" t="s">
        <v>2752</v>
      </c>
      <c r="AE230" s="80" t="str">
        <f>HYPERLINK("https://twitter.com/luiswolftigre/status/1644814737916456962")</f>
        <v>https://twitter.com/luiswolftigre/status/1644814737916456962</v>
      </c>
      <c r="AF230" s="79">
        <v>45024.895451388889</v>
      </c>
      <c r="AG230" s="85">
        <v>45024</v>
      </c>
      <c r="AH230" s="82" t="s">
        <v>2987</v>
      </c>
      <c r="AI230" s="77" t="b">
        <v>0</v>
      </c>
      <c r="AJ230" s="77" t="s">
        <v>3736</v>
      </c>
      <c r="AK230" s="77" t="s">
        <v>3752</v>
      </c>
      <c r="AL230" s="77" t="s">
        <v>3755</v>
      </c>
      <c r="AM230" s="77" t="s">
        <v>3760</v>
      </c>
      <c r="AN230" s="77" t="s">
        <v>3776</v>
      </c>
      <c r="AO230" s="77" t="s">
        <v>3794</v>
      </c>
      <c r="AP230" s="77" t="s">
        <v>3808</v>
      </c>
      <c r="AQ230" s="77" t="s">
        <v>4001</v>
      </c>
      <c r="AR230" s="77">
        <v>8405</v>
      </c>
      <c r="AS230" s="77"/>
      <c r="AT230" s="77"/>
      <c r="AU230" s="77"/>
      <c r="AV230" s="80" t="str">
        <f>HYPERLINK("https://pbs.twimg.com/ext_tw_video_thumb/1644814691443654659/pu/img/y6ISxAVums5_6SiU.jpg")</f>
        <v>https://pbs.twimg.com/ext_tw_video_thumb/1644814691443654659/pu/img/y6ISxAVums5_6SiU.jpg</v>
      </c>
      <c r="AW230" s="82" t="s">
        <v>4564</v>
      </c>
      <c r="AX230" s="82" t="s">
        <v>4564</v>
      </c>
      <c r="AY230" s="77"/>
      <c r="AZ230" s="82" t="s">
        <v>5615</v>
      </c>
      <c r="BA230" s="82" t="s">
        <v>5615</v>
      </c>
      <c r="BB230" s="82" t="s">
        <v>5615</v>
      </c>
      <c r="BC230" s="82" t="s">
        <v>4564</v>
      </c>
      <c r="BD230" s="82" t="s">
        <v>5899</v>
      </c>
      <c r="BE230" s="77"/>
      <c r="BF230" s="77"/>
      <c r="BG230" s="77"/>
      <c r="BH230" s="77"/>
      <c r="BI230" s="77"/>
    </row>
    <row r="231" spans="1:61" x14ac:dyDescent="0.25">
      <c r="A231" s="62" t="s">
        <v>289</v>
      </c>
      <c r="B231" s="62" t="s">
        <v>289</v>
      </c>
      <c r="C231" s="63"/>
      <c r="D231" s="64"/>
      <c r="E231" s="65"/>
      <c r="F231" s="66"/>
      <c r="G231" s="63"/>
      <c r="H231" s="67"/>
      <c r="I231" s="68"/>
      <c r="J231" s="68"/>
      <c r="K231" s="32"/>
      <c r="L231" s="75">
        <v>231</v>
      </c>
      <c r="M231" s="75"/>
      <c r="N231" s="70"/>
      <c r="O231" s="77" t="s">
        <v>179</v>
      </c>
      <c r="P231" s="79">
        <v>45021.688425925924</v>
      </c>
      <c r="Q231" s="77" t="s">
        <v>814</v>
      </c>
      <c r="R231" s="77">
        <v>0</v>
      </c>
      <c r="S231" s="77">
        <v>1</v>
      </c>
      <c r="T231" s="77">
        <v>0</v>
      </c>
      <c r="U231" s="77">
        <v>0</v>
      </c>
      <c r="V231" s="77">
        <v>90</v>
      </c>
      <c r="W231" s="82" t="s">
        <v>1661</v>
      </c>
      <c r="X231" s="77"/>
      <c r="Y231" s="77"/>
      <c r="Z231" s="77"/>
      <c r="AA231" s="77" t="s">
        <v>2376</v>
      </c>
      <c r="AB231" s="77" t="s">
        <v>2713</v>
      </c>
      <c r="AC231" s="82" t="s">
        <v>2729</v>
      </c>
      <c r="AD231" s="77" t="s">
        <v>2752</v>
      </c>
      <c r="AE231" s="80" t="str">
        <f>HYPERLINK("https://twitter.com/emprestimopravc/status/1643652552267792386")</f>
        <v>https://twitter.com/emprestimopravc/status/1643652552267792386</v>
      </c>
      <c r="AF231" s="79">
        <v>45021.688425925924</v>
      </c>
      <c r="AG231" s="85">
        <v>45021</v>
      </c>
      <c r="AH231" s="82" t="s">
        <v>2988</v>
      </c>
      <c r="AI231" s="77" t="b">
        <v>0</v>
      </c>
      <c r="AJ231" s="77"/>
      <c r="AK231" s="77"/>
      <c r="AL231" s="77"/>
      <c r="AM231" s="77"/>
      <c r="AN231" s="77"/>
      <c r="AO231" s="77"/>
      <c r="AP231" s="77"/>
      <c r="AQ231" s="77" t="s">
        <v>4002</v>
      </c>
      <c r="AR231" s="77">
        <v>5000</v>
      </c>
      <c r="AS231" s="77"/>
      <c r="AT231" s="77"/>
      <c r="AU231" s="77"/>
      <c r="AV231" s="80" t="str">
        <f>HYPERLINK("https://pbs.twimg.com/ext_tw_video_thumb/1643652465428930560/pu/img/ZT_BXGP9bzV5xHv_.jpg")</f>
        <v>https://pbs.twimg.com/ext_tw_video_thumb/1643652465428930560/pu/img/ZT_BXGP9bzV5xHv_.jpg</v>
      </c>
      <c r="AW231" s="82" t="s">
        <v>4565</v>
      </c>
      <c r="AX231" s="82" t="s">
        <v>4565</v>
      </c>
      <c r="AY231" s="77"/>
      <c r="AZ231" s="82" t="s">
        <v>5615</v>
      </c>
      <c r="BA231" s="82" t="s">
        <v>5615</v>
      </c>
      <c r="BB231" s="82" t="s">
        <v>5615</v>
      </c>
      <c r="BC231" s="82" t="s">
        <v>4565</v>
      </c>
      <c r="BD231" s="82" t="s">
        <v>5900</v>
      </c>
      <c r="BE231" s="77"/>
      <c r="BF231" s="77"/>
      <c r="BG231" s="77"/>
      <c r="BH231" s="77"/>
      <c r="BI231" s="77"/>
    </row>
    <row r="232" spans="1:61" x14ac:dyDescent="0.25">
      <c r="A232" s="62" t="s">
        <v>290</v>
      </c>
      <c r="B232" s="62" t="s">
        <v>290</v>
      </c>
      <c r="C232" s="63"/>
      <c r="D232" s="64"/>
      <c r="E232" s="65"/>
      <c r="F232" s="66"/>
      <c r="G232" s="63"/>
      <c r="H232" s="67"/>
      <c r="I232" s="68"/>
      <c r="J232" s="68"/>
      <c r="K232" s="32"/>
      <c r="L232" s="75">
        <v>232</v>
      </c>
      <c r="M232" s="75"/>
      <c r="N232" s="70"/>
      <c r="O232" s="77" t="s">
        <v>179</v>
      </c>
      <c r="P232" s="79">
        <v>45096.535127314812</v>
      </c>
      <c r="Q232" s="77" t="s">
        <v>815</v>
      </c>
      <c r="R232" s="77">
        <v>0</v>
      </c>
      <c r="S232" s="77">
        <v>0</v>
      </c>
      <c r="T232" s="77">
        <v>0</v>
      </c>
      <c r="U232" s="77">
        <v>0</v>
      </c>
      <c r="V232" s="77">
        <v>14</v>
      </c>
      <c r="W232" s="82" t="s">
        <v>1662</v>
      </c>
      <c r="X232" s="77"/>
      <c r="Y232" s="77"/>
      <c r="Z232" s="77"/>
      <c r="AA232" s="77"/>
      <c r="AB232" s="77"/>
      <c r="AC232" s="82" t="s">
        <v>2719</v>
      </c>
      <c r="AD232" s="77" t="s">
        <v>2752</v>
      </c>
      <c r="AE232" s="80" t="str">
        <f>HYPERLINK("https://twitter.com/jonasrochareal/status/1670776088027430915")</f>
        <v>https://twitter.com/jonasrochareal/status/1670776088027430915</v>
      </c>
      <c r="AF232" s="79">
        <v>45096.535127314812</v>
      </c>
      <c r="AG232" s="85">
        <v>45096</v>
      </c>
      <c r="AH232" s="82" t="s">
        <v>2989</v>
      </c>
      <c r="AI232" s="77"/>
      <c r="AJ232" s="77"/>
      <c r="AK232" s="77"/>
      <c r="AL232" s="77"/>
      <c r="AM232" s="77"/>
      <c r="AN232" s="77"/>
      <c r="AO232" s="77"/>
      <c r="AP232" s="77"/>
      <c r="AQ232" s="77"/>
      <c r="AR232" s="77"/>
      <c r="AS232" s="77"/>
      <c r="AT232" s="77"/>
      <c r="AU232" s="77"/>
      <c r="AV232" s="80" t="str">
        <f>HYPERLINK("https://pbs.twimg.com/profile_images/1670760057712017408/OPMgxsYG_normal.jpg")</f>
        <v>https://pbs.twimg.com/profile_images/1670760057712017408/OPMgxsYG_normal.jpg</v>
      </c>
      <c r="AW232" s="82" t="s">
        <v>4566</v>
      </c>
      <c r="AX232" s="82" t="s">
        <v>4566</v>
      </c>
      <c r="AY232" s="77"/>
      <c r="AZ232" s="82" t="s">
        <v>5615</v>
      </c>
      <c r="BA232" s="82" t="s">
        <v>5615</v>
      </c>
      <c r="BB232" s="82" t="s">
        <v>5615</v>
      </c>
      <c r="BC232" s="82" t="s">
        <v>4566</v>
      </c>
      <c r="BD232" s="82" t="s">
        <v>5901</v>
      </c>
      <c r="BE232" s="77"/>
      <c r="BF232" s="77"/>
      <c r="BG232" s="77"/>
      <c r="BH232" s="77"/>
      <c r="BI232" s="77"/>
    </row>
    <row r="233" spans="1:61" x14ac:dyDescent="0.25">
      <c r="A233" s="62" t="s">
        <v>291</v>
      </c>
      <c r="B233" s="62" t="s">
        <v>291</v>
      </c>
      <c r="C233" s="63"/>
      <c r="D233" s="64"/>
      <c r="E233" s="65"/>
      <c r="F233" s="66"/>
      <c r="G233" s="63"/>
      <c r="H233" s="67"/>
      <c r="I233" s="68"/>
      <c r="J233" s="68"/>
      <c r="K233" s="32"/>
      <c r="L233" s="75">
        <v>233</v>
      </c>
      <c r="M233" s="75"/>
      <c r="N233" s="70"/>
      <c r="O233" s="77" t="s">
        <v>179</v>
      </c>
      <c r="P233" s="79">
        <v>45173.835914351854</v>
      </c>
      <c r="Q233" s="77" t="s">
        <v>816</v>
      </c>
      <c r="R233" s="77">
        <v>0</v>
      </c>
      <c r="S233" s="77">
        <v>0</v>
      </c>
      <c r="T233" s="77">
        <v>0</v>
      </c>
      <c r="U233" s="77">
        <v>0</v>
      </c>
      <c r="V233" s="77">
        <v>10</v>
      </c>
      <c r="W233" s="82" t="s">
        <v>1663</v>
      </c>
      <c r="X233" s="80" t="str">
        <f>HYPERLINK("https://youtube.com/@TVMadeHits?si=pit3Sc78ST98sF0f")</f>
        <v>https://youtube.com/@TVMadeHits?si=pit3Sc78ST98sF0f</v>
      </c>
      <c r="Y233" s="77" t="s">
        <v>2140</v>
      </c>
      <c r="Z233" s="77"/>
      <c r="AA233" s="77" t="s">
        <v>2377</v>
      </c>
      <c r="AB233" s="77" t="s">
        <v>2713</v>
      </c>
      <c r="AC233" s="82" t="s">
        <v>2719</v>
      </c>
      <c r="AD233" s="77" t="s">
        <v>2752</v>
      </c>
      <c r="AE233" s="80" t="str">
        <f>HYPERLINK("https://twitter.com/made_hits/status/1698788955766792351")</f>
        <v>https://twitter.com/made_hits/status/1698788955766792351</v>
      </c>
      <c r="AF233" s="79">
        <v>45173.835914351854</v>
      </c>
      <c r="AG233" s="85">
        <v>45173</v>
      </c>
      <c r="AH233" s="82" t="s">
        <v>2990</v>
      </c>
      <c r="AI233" s="77" t="b">
        <v>0</v>
      </c>
      <c r="AJ233" s="77"/>
      <c r="AK233" s="77"/>
      <c r="AL233" s="77"/>
      <c r="AM233" s="77"/>
      <c r="AN233" s="77"/>
      <c r="AO233" s="77"/>
      <c r="AP233" s="77"/>
      <c r="AQ233" s="77" t="s">
        <v>4003</v>
      </c>
      <c r="AR233" s="77">
        <v>18440</v>
      </c>
      <c r="AS233" s="77"/>
      <c r="AT233" s="77"/>
      <c r="AU233" s="77"/>
      <c r="AV233" s="80" t="str">
        <f>HYPERLINK("https://pbs.twimg.com/ext_tw_video_thumb/1698788912238395392/pu/img/w9hlWr3MlbTRGN9X.jpg")</f>
        <v>https://pbs.twimg.com/ext_tw_video_thumb/1698788912238395392/pu/img/w9hlWr3MlbTRGN9X.jpg</v>
      </c>
      <c r="AW233" s="82" t="s">
        <v>4567</v>
      </c>
      <c r="AX233" s="82" t="s">
        <v>4567</v>
      </c>
      <c r="AY233" s="77"/>
      <c r="AZ233" s="82" t="s">
        <v>5615</v>
      </c>
      <c r="BA233" s="82" t="s">
        <v>5615</v>
      </c>
      <c r="BB233" s="82" t="s">
        <v>5615</v>
      </c>
      <c r="BC233" s="82" t="s">
        <v>4567</v>
      </c>
      <c r="BD233" s="82" t="s">
        <v>5902</v>
      </c>
      <c r="BE233" s="77"/>
      <c r="BF233" s="77"/>
      <c r="BG233" s="77"/>
      <c r="BH233" s="77"/>
      <c r="BI233" s="77"/>
    </row>
    <row r="234" spans="1:61" x14ac:dyDescent="0.25">
      <c r="A234" s="62" t="s">
        <v>291</v>
      </c>
      <c r="B234" s="62" t="s">
        <v>291</v>
      </c>
      <c r="C234" s="63"/>
      <c r="D234" s="64"/>
      <c r="E234" s="65"/>
      <c r="F234" s="66"/>
      <c r="G234" s="63"/>
      <c r="H234" s="67"/>
      <c r="I234" s="68"/>
      <c r="J234" s="68"/>
      <c r="K234" s="32"/>
      <c r="L234" s="75">
        <v>234</v>
      </c>
      <c r="M234" s="75"/>
      <c r="N234" s="70"/>
      <c r="O234" s="77" t="s">
        <v>179</v>
      </c>
      <c r="P234" s="79">
        <v>45173.509375000001</v>
      </c>
      <c r="Q234" s="77" t="s">
        <v>817</v>
      </c>
      <c r="R234" s="77">
        <v>0</v>
      </c>
      <c r="S234" s="77">
        <v>0</v>
      </c>
      <c r="T234" s="77">
        <v>0</v>
      </c>
      <c r="U234" s="77">
        <v>0</v>
      </c>
      <c r="V234" s="77">
        <v>24</v>
      </c>
      <c r="W234" s="82" t="s">
        <v>1664</v>
      </c>
      <c r="X234" s="80" t="str">
        <f>HYPERLINK("https://youtube.com/@TVMadeHits?si=pit3Sc78ST98sF0f")</f>
        <v>https://youtube.com/@TVMadeHits?si=pit3Sc78ST98sF0f</v>
      </c>
      <c r="Y234" s="77" t="s">
        <v>2140</v>
      </c>
      <c r="Z234" s="77"/>
      <c r="AA234" s="77" t="s">
        <v>2378</v>
      </c>
      <c r="AB234" s="77" t="s">
        <v>2713</v>
      </c>
      <c r="AC234" s="82" t="s">
        <v>2719</v>
      </c>
      <c r="AD234" s="77" t="s">
        <v>2752</v>
      </c>
      <c r="AE234" s="80" t="str">
        <f>HYPERLINK("https://twitter.com/made_hits/status/1698670621788385592")</f>
        <v>https://twitter.com/made_hits/status/1698670621788385592</v>
      </c>
      <c r="AF234" s="79">
        <v>45173.509375000001</v>
      </c>
      <c r="AG234" s="85">
        <v>45173</v>
      </c>
      <c r="AH234" s="82" t="s">
        <v>2991</v>
      </c>
      <c r="AI234" s="77" t="b">
        <v>0</v>
      </c>
      <c r="AJ234" s="77"/>
      <c r="AK234" s="77"/>
      <c r="AL234" s="77"/>
      <c r="AM234" s="77"/>
      <c r="AN234" s="77"/>
      <c r="AO234" s="77"/>
      <c r="AP234" s="77"/>
      <c r="AQ234" s="77" t="s">
        <v>4004</v>
      </c>
      <c r="AR234" s="77">
        <v>30200</v>
      </c>
      <c r="AS234" s="77"/>
      <c r="AT234" s="77"/>
      <c r="AU234" s="77"/>
      <c r="AV234" s="80" t="str">
        <f>HYPERLINK("https://pbs.twimg.com/ext_tw_video_thumb/1698670542750965760/pu/img/lkR2MncEsxgz0a2W.jpg")</f>
        <v>https://pbs.twimg.com/ext_tw_video_thumb/1698670542750965760/pu/img/lkR2MncEsxgz0a2W.jpg</v>
      </c>
      <c r="AW234" s="82" t="s">
        <v>4568</v>
      </c>
      <c r="AX234" s="82" t="s">
        <v>4568</v>
      </c>
      <c r="AY234" s="77"/>
      <c r="AZ234" s="82" t="s">
        <v>5615</v>
      </c>
      <c r="BA234" s="82" t="s">
        <v>5615</v>
      </c>
      <c r="BB234" s="82" t="s">
        <v>5615</v>
      </c>
      <c r="BC234" s="82" t="s">
        <v>4568</v>
      </c>
      <c r="BD234" s="82" t="s">
        <v>5902</v>
      </c>
      <c r="BE234" s="77"/>
      <c r="BF234" s="77"/>
      <c r="BG234" s="77"/>
      <c r="BH234" s="77"/>
      <c r="BI234" s="77"/>
    </row>
    <row r="235" spans="1:61" x14ac:dyDescent="0.25">
      <c r="A235" s="62" t="s">
        <v>291</v>
      </c>
      <c r="B235" s="62" t="s">
        <v>291</v>
      </c>
      <c r="C235" s="63"/>
      <c r="D235" s="64"/>
      <c r="E235" s="65"/>
      <c r="F235" s="66"/>
      <c r="G235" s="63"/>
      <c r="H235" s="67"/>
      <c r="I235" s="68"/>
      <c r="J235" s="68"/>
      <c r="K235" s="32"/>
      <c r="L235" s="75">
        <v>235</v>
      </c>
      <c r="M235" s="75"/>
      <c r="N235" s="70"/>
      <c r="O235" s="77" t="s">
        <v>179</v>
      </c>
      <c r="P235" s="79">
        <v>45189.956446759257</v>
      </c>
      <c r="Q235" s="77" t="s">
        <v>818</v>
      </c>
      <c r="R235" s="77">
        <v>0</v>
      </c>
      <c r="S235" s="77">
        <v>0</v>
      </c>
      <c r="T235" s="77">
        <v>0</v>
      </c>
      <c r="U235" s="77">
        <v>0</v>
      </c>
      <c r="V235" s="77">
        <v>10</v>
      </c>
      <c r="W235" s="82" t="s">
        <v>1665</v>
      </c>
      <c r="X235" s="77"/>
      <c r="Y235" s="77"/>
      <c r="Z235" s="77"/>
      <c r="AA235" s="77" t="s">
        <v>2379</v>
      </c>
      <c r="AB235" s="77" t="s">
        <v>2713</v>
      </c>
      <c r="AC235" s="82" t="s">
        <v>2719</v>
      </c>
      <c r="AD235" s="77" t="s">
        <v>2752</v>
      </c>
      <c r="AE235" s="80" t="str">
        <f>HYPERLINK("https://twitter.com/made_hits/status/1704630838418096247")</f>
        <v>https://twitter.com/made_hits/status/1704630838418096247</v>
      </c>
      <c r="AF235" s="79">
        <v>45189.956446759257</v>
      </c>
      <c r="AG235" s="85">
        <v>45189</v>
      </c>
      <c r="AH235" s="82" t="s">
        <v>2992</v>
      </c>
      <c r="AI235" s="77" t="b">
        <v>0</v>
      </c>
      <c r="AJ235" s="77"/>
      <c r="AK235" s="77"/>
      <c r="AL235" s="77"/>
      <c r="AM235" s="77"/>
      <c r="AN235" s="77"/>
      <c r="AO235" s="77"/>
      <c r="AP235" s="77"/>
      <c r="AQ235" s="77" t="s">
        <v>4005</v>
      </c>
      <c r="AR235" s="77">
        <v>27200</v>
      </c>
      <c r="AS235" s="77"/>
      <c r="AT235" s="77"/>
      <c r="AU235" s="77"/>
      <c r="AV235" s="80" t="str">
        <f>HYPERLINK("https://pbs.twimg.com/ext_tw_video_thumb/1704630733216571392/pu/img/O2d9KI_gRSQ_StK5.jpg")</f>
        <v>https://pbs.twimg.com/ext_tw_video_thumb/1704630733216571392/pu/img/O2d9KI_gRSQ_StK5.jpg</v>
      </c>
      <c r="AW235" s="82" t="s">
        <v>4569</v>
      </c>
      <c r="AX235" s="82" t="s">
        <v>4569</v>
      </c>
      <c r="AY235" s="77"/>
      <c r="AZ235" s="82" t="s">
        <v>5615</v>
      </c>
      <c r="BA235" s="82" t="s">
        <v>5615</v>
      </c>
      <c r="BB235" s="82" t="s">
        <v>5615</v>
      </c>
      <c r="BC235" s="82" t="s">
        <v>4569</v>
      </c>
      <c r="BD235" s="82" t="s">
        <v>5902</v>
      </c>
      <c r="BE235" s="77"/>
      <c r="BF235" s="77"/>
      <c r="BG235" s="77"/>
      <c r="BH235" s="77"/>
      <c r="BI235" s="77"/>
    </row>
    <row r="236" spans="1:61" x14ac:dyDescent="0.25">
      <c r="A236" s="62" t="s">
        <v>291</v>
      </c>
      <c r="B236" s="62" t="s">
        <v>291</v>
      </c>
      <c r="C236" s="63"/>
      <c r="D236" s="64"/>
      <c r="E236" s="65"/>
      <c r="F236" s="66"/>
      <c r="G236" s="63"/>
      <c r="H236" s="67"/>
      <c r="I236" s="68"/>
      <c r="J236" s="68"/>
      <c r="K236" s="32"/>
      <c r="L236" s="75">
        <v>236</v>
      </c>
      <c r="M236" s="75"/>
      <c r="N236" s="70"/>
      <c r="O236" s="77" t="s">
        <v>179</v>
      </c>
      <c r="P236" s="79">
        <v>45182.644884259258</v>
      </c>
      <c r="Q236" s="77" t="s">
        <v>819</v>
      </c>
      <c r="R236" s="77">
        <v>0</v>
      </c>
      <c r="S236" s="77">
        <v>0</v>
      </c>
      <c r="T236" s="77">
        <v>0</v>
      </c>
      <c r="U236" s="77">
        <v>0</v>
      </c>
      <c r="V236" s="77">
        <v>115</v>
      </c>
      <c r="W236" s="82" t="s">
        <v>1666</v>
      </c>
      <c r="X236" s="77"/>
      <c r="Y236" s="77"/>
      <c r="Z236" s="77"/>
      <c r="AA236" s="77" t="s">
        <v>2380</v>
      </c>
      <c r="AB236" s="77" t="s">
        <v>2713</v>
      </c>
      <c r="AC236" s="82" t="s">
        <v>2719</v>
      </c>
      <c r="AD236" s="77" t="s">
        <v>2752</v>
      </c>
      <c r="AE236" s="80" t="str">
        <f>HYPERLINK("https://twitter.com/made_hits/status/1701981216856055996")</f>
        <v>https://twitter.com/made_hits/status/1701981216856055996</v>
      </c>
      <c r="AF236" s="79">
        <v>45182.644884259258</v>
      </c>
      <c r="AG236" s="85">
        <v>45182</v>
      </c>
      <c r="AH236" s="82" t="s">
        <v>2993</v>
      </c>
      <c r="AI236" s="77" t="b">
        <v>0</v>
      </c>
      <c r="AJ236" s="77"/>
      <c r="AK236" s="77"/>
      <c r="AL236" s="77"/>
      <c r="AM236" s="77"/>
      <c r="AN236" s="77"/>
      <c r="AO236" s="77"/>
      <c r="AP236" s="77"/>
      <c r="AQ236" s="77" t="s">
        <v>4006</v>
      </c>
      <c r="AR236" s="77">
        <v>26880</v>
      </c>
      <c r="AS236" s="77"/>
      <c r="AT236" s="77"/>
      <c r="AU236" s="77"/>
      <c r="AV236" s="80" t="str">
        <f>HYPERLINK("https://pbs.twimg.com/ext_tw_video_thumb/1701981144734961664/pu/img/X6nYk5Or035GA9JA.jpg")</f>
        <v>https://pbs.twimg.com/ext_tw_video_thumb/1701981144734961664/pu/img/X6nYk5Or035GA9JA.jpg</v>
      </c>
      <c r="AW236" s="82" t="s">
        <v>4570</v>
      </c>
      <c r="AX236" s="82" t="s">
        <v>4570</v>
      </c>
      <c r="AY236" s="77"/>
      <c r="AZ236" s="82" t="s">
        <v>5615</v>
      </c>
      <c r="BA236" s="82" t="s">
        <v>5615</v>
      </c>
      <c r="BB236" s="82" t="s">
        <v>5615</v>
      </c>
      <c r="BC236" s="82" t="s">
        <v>4570</v>
      </c>
      <c r="BD236" s="82" t="s">
        <v>5902</v>
      </c>
      <c r="BE236" s="77"/>
      <c r="BF236" s="77"/>
      <c r="BG236" s="77"/>
      <c r="BH236" s="77"/>
      <c r="BI236" s="77"/>
    </row>
    <row r="237" spans="1:61" x14ac:dyDescent="0.25">
      <c r="A237" s="62" t="s">
        <v>292</v>
      </c>
      <c r="B237" s="62" t="s">
        <v>292</v>
      </c>
      <c r="C237" s="63"/>
      <c r="D237" s="64"/>
      <c r="E237" s="65"/>
      <c r="F237" s="66"/>
      <c r="G237" s="63"/>
      <c r="H237" s="67"/>
      <c r="I237" s="68"/>
      <c r="J237" s="68"/>
      <c r="K237" s="32"/>
      <c r="L237" s="75">
        <v>237</v>
      </c>
      <c r="M237" s="75"/>
      <c r="N237" s="70"/>
      <c r="O237" s="77" t="s">
        <v>179</v>
      </c>
      <c r="P237" s="79">
        <v>45058.678206018521</v>
      </c>
      <c r="Q237" s="77" t="s">
        <v>820</v>
      </c>
      <c r="R237" s="77">
        <v>0</v>
      </c>
      <c r="S237" s="77">
        <v>0</v>
      </c>
      <c r="T237" s="77">
        <v>0</v>
      </c>
      <c r="U237" s="77">
        <v>0</v>
      </c>
      <c r="V237" s="77">
        <v>20</v>
      </c>
      <c r="W237" s="82" t="s">
        <v>1667</v>
      </c>
      <c r="X237" s="80" t="str">
        <f>HYPERLINK("https://store.jerryfetta.com/collections/books?utm_source=twitter&amp;utm_medium=social&amp;utm_content=ap_ixtsxgaz5h")</f>
        <v>https://store.jerryfetta.com/collections/books?utm_source=twitter&amp;utm_medium=social&amp;utm_content=ap_ixtsxgaz5h</v>
      </c>
      <c r="Y237" s="77" t="s">
        <v>2141</v>
      </c>
      <c r="Z237" s="77"/>
      <c r="AA237" s="77" t="s">
        <v>2381</v>
      </c>
      <c r="AB237" s="77" t="s">
        <v>2714</v>
      </c>
      <c r="AC237" s="82" t="s">
        <v>2730</v>
      </c>
      <c r="AD237" s="77" t="s">
        <v>2754</v>
      </c>
      <c r="AE237" s="80" t="str">
        <f>HYPERLINK("https://twitter.com/jerryfetta/status/1657057197002465281")</f>
        <v>https://twitter.com/jerryfetta/status/1657057197002465281</v>
      </c>
      <c r="AF237" s="79">
        <v>45058.678206018521</v>
      </c>
      <c r="AG237" s="85">
        <v>45058</v>
      </c>
      <c r="AH237" s="82" t="s">
        <v>2994</v>
      </c>
      <c r="AI237" s="77" t="b">
        <v>1</v>
      </c>
      <c r="AJ237" s="77"/>
      <c r="AK237" s="77"/>
      <c r="AL237" s="77"/>
      <c r="AM237" s="77"/>
      <c r="AN237" s="77"/>
      <c r="AO237" s="77"/>
      <c r="AP237" s="77"/>
      <c r="AQ237" s="77" t="s">
        <v>4007</v>
      </c>
      <c r="AR237" s="77"/>
      <c r="AS237" s="77"/>
      <c r="AT237" s="77"/>
      <c r="AU237" s="77"/>
      <c r="AV237" s="80" t="str">
        <f>HYPERLINK("https://pbs.twimg.com/media/Fv8MvJxX0AE8Qj2.jpg")</f>
        <v>https://pbs.twimg.com/media/Fv8MvJxX0AE8Qj2.jpg</v>
      </c>
      <c r="AW237" s="82" t="s">
        <v>4571</v>
      </c>
      <c r="AX237" s="82" t="s">
        <v>4571</v>
      </c>
      <c r="AY237" s="77"/>
      <c r="AZ237" s="82" t="s">
        <v>5615</v>
      </c>
      <c r="BA237" s="82" t="s">
        <v>5615</v>
      </c>
      <c r="BB237" s="82" t="s">
        <v>5615</v>
      </c>
      <c r="BC237" s="82" t="s">
        <v>4571</v>
      </c>
      <c r="BD237" s="77">
        <v>2945855064</v>
      </c>
      <c r="BE237" s="77"/>
      <c r="BF237" s="77"/>
      <c r="BG237" s="77"/>
      <c r="BH237" s="77"/>
      <c r="BI237" s="77"/>
    </row>
    <row r="238" spans="1:61" x14ac:dyDescent="0.25">
      <c r="A238" s="62" t="s">
        <v>293</v>
      </c>
      <c r="B238" s="62" t="s">
        <v>293</v>
      </c>
      <c r="C238" s="63"/>
      <c r="D238" s="64"/>
      <c r="E238" s="65"/>
      <c r="F238" s="66"/>
      <c r="G238" s="63"/>
      <c r="H238" s="67"/>
      <c r="I238" s="68"/>
      <c r="J238" s="68"/>
      <c r="K238" s="32"/>
      <c r="L238" s="75">
        <v>238</v>
      </c>
      <c r="M238" s="75"/>
      <c r="N238" s="70"/>
      <c r="O238" s="77" t="s">
        <v>179</v>
      </c>
      <c r="P238" s="79">
        <v>44930.476898148147</v>
      </c>
      <c r="Q238" s="77" t="s">
        <v>821</v>
      </c>
      <c r="R238" s="77">
        <v>0</v>
      </c>
      <c r="S238" s="77">
        <v>0</v>
      </c>
      <c r="T238" s="77">
        <v>0</v>
      </c>
      <c r="U238" s="77">
        <v>0</v>
      </c>
      <c r="V238" s="77">
        <v>4</v>
      </c>
      <c r="W238" s="82" t="s">
        <v>1668</v>
      </c>
      <c r="X238" s="80" t="str">
        <f>HYPERLINK("http://www.financialwellbeing.com.br")</f>
        <v>http://www.financialwellbeing.com.br</v>
      </c>
      <c r="Y238" s="77" t="s">
        <v>2129</v>
      </c>
      <c r="Z238" s="77"/>
      <c r="AA238" s="77" t="s">
        <v>2382</v>
      </c>
      <c r="AB238" s="77" t="s">
        <v>2714</v>
      </c>
      <c r="AC238" s="82" t="s">
        <v>2720</v>
      </c>
      <c r="AD238" s="77" t="s">
        <v>2752</v>
      </c>
      <c r="AE238" s="80" t="str">
        <f>HYPERLINK("https://twitter.com/herbstflavio/status/1610598602220662784")</f>
        <v>https://twitter.com/herbstflavio/status/1610598602220662784</v>
      </c>
      <c r="AF238" s="79">
        <v>44930.476898148147</v>
      </c>
      <c r="AG238" s="85">
        <v>44930</v>
      </c>
      <c r="AH238" s="82" t="s">
        <v>2995</v>
      </c>
      <c r="AI238" s="77" t="b">
        <v>0</v>
      </c>
      <c r="AJ238" s="77"/>
      <c r="AK238" s="77"/>
      <c r="AL238" s="77"/>
      <c r="AM238" s="77"/>
      <c r="AN238" s="77"/>
      <c r="AO238" s="77"/>
      <c r="AP238" s="77"/>
      <c r="AQ238" s="77" t="s">
        <v>4008</v>
      </c>
      <c r="AR238" s="77"/>
      <c r="AS238" s="77"/>
      <c r="AT238" s="77"/>
      <c r="AU238" s="77"/>
      <c r="AV238" s="80" t="str">
        <f>HYPERLINK("https://pbs.twimg.com/media/Fln-441WIAINyLF.jpg")</f>
        <v>https://pbs.twimg.com/media/Fln-441WIAINyLF.jpg</v>
      </c>
      <c r="AW238" s="82" t="s">
        <v>4572</v>
      </c>
      <c r="AX238" s="82" t="s">
        <v>4572</v>
      </c>
      <c r="AY238" s="77"/>
      <c r="AZ238" s="82" t="s">
        <v>5615</v>
      </c>
      <c r="BA238" s="82" t="s">
        <v>5615</v>
      </c>
      <c r="BB238" s="82" t="s">
        <v>5615</v>
      </c>
      <c r="BC238" s="82" t="s">
        <v>4572</v>
      </c>
      <c r="BD238" s="82" t="s">
        <v>5903</v>
      </c>
      <c r="BE238" s="77"/>
      <c r="BF238" s="77"/>
      <c r="BG238" s="77"/>
      <c r="BH238" s="77"/>
      <c r="BI238" s="77"/>
    </row>
    <row r="239" spans="1:61" x14ac:dyDescent="0.25">
      <c r="A239" s="62" t="s">
        <v>294</v>
      </c>
      <c r="B239" s="62" t="s">
        <v>294</v>
      </c>
      <c r="C239" s="63"/>
      <c r="D239" s="64"/>
      <c r="E239" s="65"/>
      <c r="F239" s="66"/>
      <c r="G239" s="63"/>
      <c r="H239" s="67"/>
      <c r="I239" s="68"/>
      <c r="J239" s="68"/>
      <c r="K239" s="32"/>
      <c r="L239" s="75">
        <v>239</v>
      </c>
      <c r="M239" s="75"/>
      <c r="N239" s="70"/>
      <c r="O239" s="77" t="s">
        <v>179</v>
      </c>
      <c r="P239" s="79">
        <v>44972.169074074074</v>
      </c>
      <c r="Q239" s="77" t="s">
        <v>822</v>
      </c>
      <c r="R239" s="77">
        <v>0</v>
      </c>
      <c r="S239" s="77">
        <v>0</v>
      </c>
      <c r="T239" s="77">
        <v>0</v>
      </c>
      <c r="U239" s="77">
        <v>0</v>
      </c>
      <c r="V239" s="77">
        <v>22</v>
      </c>
      <c r="W239" s="82" t="s">
        <v>1669</v>
      </c>
      <c r="X239" s="80" t="str">
        <f>HYPERLINK("https://instagr.am/p/Coqvwj5tUr-/")</f>
        <v>https://instagr.am/p/Coqvwj5tUr-/</v>
      </c>
      <c r="Y239" s="77" t="s">
        <v>2136</v>
      </c>
      <c r="Z239" s="77"/>
      <c r="AA239" s="77" t="s">
        <v>2383</v>
      </c>
      <c r="AB239" s="77" t="s">
        <v>2714</v>
      </c>
      <c r="AC239" s="82" t="s">
        <v>2727</v>
      </c>
      <c r="AD239" s="77" t="s">
        <v>2752</v>
      </c>
      <c r="AE239" s="80" t="str">
        <f>HYPERLINK("https://twitter.com/wiskton/status/1625707339943710721")</f>
        <v>https://twitter.com/wiskton/status/1625707339943710721</v>
      </c>
      <c r="AF239" s="79">
        <v>44972.169074074074</v>
      </c>
      <c r="AG239" s="85">
        <v>44972</v>
      </c>
      <c r="AH239" s="82" t="s">
        <v>2996</v>
      </c>
      <c r="AI239" s="77" t="b">
        <v>0</v>
      </c>
      <c r="AJ239" s="77"/>
      <c r="AK239" s="77"/>
      <c r="AL239" s="77"/>
      <c r="AM239" s="77"/>
      <c r="AN239" s="77"/>
      <c r="AO239" s="77"/>
      <c r="AP239" s="77"/>
      <c r="AQ239" s="77" t="s">
        <v>4009</v>
      </c>
      <c r="AR239" s="77"/>
      <c r="AS239" s="77"/>
      <c r="AT239" s="77"/>
      <c r="AU239" s="77"/>
      <c r="AV239" s="80" t="str">
        <f>HYPERLINK("https://pbs.twimg.com/media/Fo-sNetXgAYsHoa.jpg")</f>
        <v>https://pbs.twimg.com/media/Fo-sNetXgAYsHoa.jpg</v>
      </c>
      <c r="AW239" s="82" t="s">
        <v>4573</v>
      </c>
      <c r="AX239" s="82" t="s">
        <v>4573</v>
      </c>
      <c r="AY239" s="77"/>
      <c r="AZ239" s="82" t="s">
        <v>5615</v>
      </c>
      <c r="BA239" s="82" t="s">
        <v>5615</v>
      </c>
      <c r="BB239" s="82" t="s">
        <v>5615</v>
      </c>
      <c r="BC239" s="82" t="s">
        <v>4573</v>
      </c>
      <c r="BD239" s="77">
        <v>191255810</v>
      </c>
      <c r="BE239" s="77"/>
      <c r="BF239" s="77"/>
      <c r="BG239" s="77"/>
      <c r="BH239" s="77"/>
      <c r="BI239" s="77"/>
    </row>
    <row r="240" spans="1:61" x14ac:dyDescent="0.25">
      <c r="A240" s="62" t="s">
        <v>295</v>
      </c>
      <c r="B240" s="62" t="s">
        <v>295</v>
      </c>
      <c r="C240" s="63"/>
      <c r="D240" s="64"/>
      <c r="E240" s="65"/>
      <c r="F240" s="66"/>
      <c r="G240" s="63"/>
      <c r="H240" s="67"/>
      <c r="I240" s="68"/>
      <c r="J240" s="68"/>
      <c r="K240" s="32"/>
      <c r="L240" s="75">
        <v>240</v>
      </c>
      <c r="M240" s="75"/>
      <c r="N240" s="70"/>
      <c r="O240" s="77" t="s">
        <v>179</v>
      </c>
      <c r="P240" s="79">
        <v>45154.879247685189</v>
      </c>
      <c r="Q240" s="77" t="s">
        <v>823</v>
      </c>
      <c r="R240" s="77">
        <v>1</v>
      </c>
      <c r="S240" s="77">
        <v>3</v>
      </c>
      <c r="T240" s="77">
        <v>0</v>
      </c>
      <c r="U240" s="77">
        <v>0</v>
      </c>
      <c r="V240" s="77">
        <v>375</v>
      </c>
      <c r="W240" s="82" t="s">
        <v>1670</v>
      </c>
      <c r="X240" s="77"/>
      <c r="Y240" s="77"/>
      <c r="Z240" s="77"/>
      <c r="AA240" s="77" t="s">
        <v>2384</v>
      </c>
      <c r="AB240" s="77" t="s">
        <v>2713</v>
      </c>
      <c r="AC240" s="82" t="s">
        <v>2720</v>
      </c>
      <c r="AD240" s="77" t="s">
        <v>2752</v>
      </c>
      <c r="AE240" s="80" t="str">
        <f>HYPERLINK("https://twitter.com/fernandokobuti/status/1691919288360419689")</f>
        <v>https://twitter.com/fernandokobuti/status/1691919288360419689</v>
      </c>
      <c r="AF240" s="79">
        <v>45154.879247685189</v>
      </c>
      <c r="AG240" s="85">
        <v>45154</v>
      </c>
      <c r="AH240" s="82" t="s">
        <v>2997</v>
      </c>
      <c r="AI240" s="77" t="b">
        <v>0</v>
      </c>
      <c r="AJ240" s="77"/>
      <c r="AK240" s="77"/>
      <c r="AL240" s="77"/>
      <c r="AM240" s="77"/>
      <c r="AN240" s="77"/>
      <c r="AO240" s="77"/>
      <c r="AP240" s="77"/>
      <c r="AQ240" s="77" t="s">
        <v>4010</v>
      </c>
      <c r="AR240" s="77">
        <v>139098</v>
      </c>
      <c r="AS240" s="77"/>
      <c r="AT240" s="77"/>
      <c r="AU240" s="77"/>
      <c r="AV240" s="80" t="str">
        <f>HYPERLINK("https://pbs.twimg.com/amplify_video_thumb/1691919079488065536/img/fnXcx4h3EvzhEoZt.jpg")</f>
        <v>https://pbs.twimg.com/amplify_video_thumb/1691919079488065536/img/fnXcx4h3EvzhEoZt.jpg</v>
      </c>
      <c r="AW240" s="82" t="s">
        <v>4574</v>
      </c>
      <c r="AX240" s="82" t="s">
        <v>4574</v>
      </c>
      <c r="AY240" s="77"/>
      <c r="AZ240" s="82" t="s">
        <v>5615</v>
      </c>
      <c r="BA240" s="82" t="s">
        <v>5615</v>
      </c>
      <c r="BB240" s="82" t="s">
        <v>5615</v>
      </c>
      <c r="BC240" s="82" t="s">
        <v>4574</v>
      </c>
      <c r="BD240" s="82" t="s">
        <v>5904</v>
      </c>
      <c r="BE240" s="77"/>
      <c r="BF240" s="77"/>
      <c r="BG240" s="77"/>
      <c r="BH240" s="77"/>
      <c r="BI240" s="77"/>
    </row>
    <row r="241" spans="1:61" x14ac:dyDescent="0.25">
      <c r="A241" s="62" t="s">
        <v>296</v>
      </c>
      <c r="B241" s="62" t="s">
        <v>296</v>
      </c>
      <c r="C241" s="63"/>
      <c r="D241" s="64"/>
      <c r="E241" s="65"/>
      <c r="F241" s="66"/>
      <c r="G241" s="63"/>
      <c r="H241" s="67"/>
      <c r="I241" s="68"/>
      <c r="J241" s="68"/>
      <c r="K241" s="32"/>
      <c r="L241" s="75">
        <v>241</v>
      </c>
      <c r="M241" s="75"/>
      <c r="N241" s="70"/>
      <c r="O241" s="77" t="s">
        <v>179</v>
      </c>
      <c r="P241" s="79">
        <v>45036.778032407405</v>
      </c>
      <c r="Q241" s="77" t="s">
        <v>824</v>
      </c>
      <c r="R241" s="77">
        <v>0</v>
      </c>
      <c r="S241" s="77">
        <v>0</v>
      </c>
      <c r="T241" s="77">
        <v>0</v>
      </c>
      <c r="U241" s="77">
        <v>0</v>
      </c>
      <c r="V241" s="77">
        <v>10</v>
      </c>
      <c r="W241" s="82" t="s">
        <v>1671</v>
      </c>
      <c r="X241" s="80" t="str">
        <f>HYPERLINK("https://jornaldigital360.com.br/10-estrategias-para-alcancar-a-independencia-financeira/")</f>
        <v>https://jornaldigital360.com.br/10-estrategias-para-alcancar-a-independencia-financeira/</v>
      </c>
      <c r="Y241" s="77" t="s">
        <v>2129</v>
      </c>
      <c r="Z241" s="77"/>
      <c r="AA241" s="77" t="s">
        <v>2385</v>
      </c>
      <c r="AB241" s="77" t="s">
        <v>2714</v>
      </c>
      <c r="AC241" s="82" t="s">
        <v>2722</v>
      </c>
      <c r="AD241" s="77" t="s">
        <v>2752</v>
      </c>
      <c r="AE241" s="80" t="str">
        <f>HYPERLINK("https://twitter.com/newsdigital360/status/1649120842247176193")</f>
        <v>https://twitter.com/newsdigital360/status/1649120842247176193</v>
      </c>
      <c r="AF241" s="79">
        <v>45036.778032407405</v>
      </c>
      <c r="AG241" s="85">
        <v>45036</v>
      </c>
      <c r="AH241" s="82" t="s">
        <v>2998</v>
      </c>
      <c r="AI241" s="77" t="b">
        <v>0</v>
      </c>
      <c r="AJ241" s="77"/>
      <c r="AK241" s="77"/>
      <c r="AL241" s="77"/>
      <c r="AM241" s="77"/>
      <c r="AN241" s="77"/>
      <c r="AO241" s="77"/>
      <c r="AP241" s="77"/>
      <c r="AQ241" s="77" t="s">
        <v>4011</v>
      </c>
      <c r="AR241" s="77"/>
      <c r="AS241" s="77"/>
      <c r="AT241" s="77"/>
      <c r="AU241" s="77"/>
      <c r="AV241" s="80" t="str">
        <f>HYPERLINK("https://pbs.twimg.com/media/FuLaqEPWAAkE3ot.jpg")</f>
        <v>https://pbs.twimg.com/media/FuLaqEPWAAkE3ot.jpg</v>
      </c>
      <c r="AW241" s="82" t="s">
        <v>4575</v>
      </c>
      <c r="AX241" s="82" t="s">
        <v>4575</v>
      </c>
      <c r="AY241" s="77"/>
      <c r="AZ241" s="82" t="s">
        <v>5615</v>
      </c>
      <c r="BA241" s="82" t="s">
        <v>5615</v>
      </c>
      <c r="BB241" s="82" t="s">
        <v>5615</v>
      </c>
      <c r="BC241" s="82" t="s">
        <v>4575</v>
      </c>
      <c r="BD241" s="82" t="s">
        <v>5905</v>
      </c>
      <c r="BE241" s="77"/>
      <c r="BF241" s="77"/>
      <c r="BG241" s="77"/>
      <c r="BH241" s="77"/>
      <c r="BI241" s="77"/>
    </row>
    <row r="242" spans="1:61" x14ac:dyDescent="0.25">
      <c r="A242" s="62" t="s">
        <v>297</v>
      </c>
      <c r="B242" s="62" t="s">
        <v>297</v>
      </c>
      <c r="C242" s="63"/>
      <c r="D242" s="64"/>
      <c r="E242" s="65"/>
      <c r="F242" s="66"/>
      <c r="G242" s="63"/>
      <c r="H242" s="67"/>
      <c r="I242" s="68"/>
      <c r="J242" s="68"/>
      <c r="K242" s="32"/>
      <c r="L242" s="75">
        <v>242</v>
      </c>
      <c r="M242" s="75"/>
      <c r="N242" s="70"/>
      <c r="O242" s="77" t="s">
        <v>179</v>
      </c>
      <c r="P242" s="79">
        <v>45120.802430555559</v>
      </c>
      <c r="Q242" s="77" t="s">
        <v>825</v>
      </c>
      <c r="R242" s="77">
        <v>0</v>
      </c>
      <c r="S242" s="77">
        <v>1</v>
      </c>
      <c r="T242" s="77">
        <v>1</v>
      </c>
      <c r="U242" s="77">
        <v>0</v>
      </c>
      <c r="V242" s="77">
        <v>35</v>
      </c>
      <c r="W242" s="82" t="s">
        <v>1672</v>
      </c>
      <c r="X242" s="77"/>
      <c r="Y242" s="77"/>
      <c r="Z242" s="77"/>
      <c r="AA242" s="77"/>
      <c r="AB242" s="77"/>
      <c r="AC242" s="82" t="s">
        <v>2722</v>
      </c>
      <c r="AD242" s="77" t="s">
        <v>2752</v>
      </c>
      <c r="AE242" s="80" t="str">
        <f>HYPERLINK("https://twitter.com/vagnercutrim/status/1679570263212425216")</f>
        <v>https://twitter.com/vagnercutrim/status/1679570263212425216</v>
      </c>
      <c r="AF242" s="79">
        <v>45120.802430555559</v>
      </c>
      <c r="AG242" s="85">
        <v>45120</v>
      </c>
      <c r="AH242" s="82" t="s">
        <v>2999</v>
      </c>
      <c r="AI242" s="77"/>
      <c r="AJ242" s="77"/>
      <c r="AK242" s="77"/>
      <c r="AL242" s="77"/>
      <c r="AM242" s="77"/>
      <c r="AN242" s="77"/>
      <c r="AO242" s="77"/>
      <c r="AP242" s="77"/>
      <c r="AQ242" s="77"/>
      <c r="AR242" s="77"/>
      <c r="AS242" s="77"/>
      <c r="AT242" s="77"/>
      <c r="AU242" s="77"/>
      <c r="AV242" s="80" t="str">
        <f>HYPERLINK("https://pbs.twimg.com/profile_images/1609946191667646478/L0amO-g7_normal.jpg")</f>
        <v>https://pbs.twimg.com/profile_images/1609946191667646478/L0amO-g7_normal.jpg</v>
      </c>
      <c r="AW242" s="82" t="s">
        <v>4576</v>
      </c>
      <c r="AX242" s="82" t="s">
        <v>4576</v>
      </c>
      <c r="AY242" s="77"/>
      <c r="AZ242" s="82" t="s">
        <v>5615</v>
      </c>
      <c r="BA242" s="82" t="s">
        <v>5615</v>
      </c>
      <c r="BB242" s="82" t="s">
        <v>5615</v>
      </c>
      <c r="BC242" s="82" t="s">
        <v>4576</v>
      </c>
      <c r="BD242" s="82" t="s">
        <v>5906</v>
      </c>
      <c r="BE242" s="77"/>
      <c r="BF242" s="77"/>
      <c r="BG242" s="77"/>
      <c r="BH242" s="77"/>
      <c r="BI242" s="77"/>
    </row>
    <row r="243" spans="1:61" x14ac:dyDescent="0.25">
      <c r="A243" s="62" t="s">
        <v>298</v>
      </c>
      <c r="B243" s="62" t="s">
        <v>298</v>
      </c>
      <c r="C243" s="63"/>
      <c r="D243" s="64"/>
      <c r="E243" s="65"/>
      <c r="F243" s="66"/>
      <c r="G243" s="63"/>
      <c r="H243" s="67"/>
      <c r="I243" s="68"/>
      <c r="J243" s="68"/>
      <c r="K243" s="32"/>
      <c r="L243" s="75">
        <v>243</v>
      </c>
      <c r="M243" s="75"/>
      <c r="N243" s="70"/>
      <c r="O243" s="77" t="s">
        <v>179</v>
      </c>
      <c r="P243" s="79">
        <v>44956.756967592592</v>
      </c>
      <c r="Q243" s="77" t="s">
        <v>826</v>
      </c>
      <c r="R243" s="77">
        <v>0</v>
      </c>
      <c r="S243" s="77">
        <v>0</v>
      </c>
      <c r="T243" s="77">
        <v>0</v>
      </c>
      <c r="U243" s="77">
        <v>0</v>
      </c>
      <c r="V243" s="77">
        <v>96</v>
      </c>
      <c r="W243" s="82" t="s">
        <v>1673</v>
      </c>
      <c r="X243" s="77"/>
      <c r="Y243" s="77"/>
      <c r="Z243" s="77"/>
      <c r="AA243" s="77" t="s">
        <v>2386</v>
      </c>
      <c r="AB243" s="77" t="s">
        <v>2714</v>
      </c>
      <c r="AC243" s="82" t="s">
        <v>2719</v>
      </c>
      <c r="AD243" s="77" t="s">
        <v>2753</v>
      </c>
      <c r="AE243" s="80" t="str">
        <f>HYPERLINK("https://twitter.com/rv_rafaelvieira/status/1620122180091789315")</f>
        <v>https://twitter.com/rv_rafaelvieira/status/1620122180091789315</v>
      </c>
      <c r="AF243" s="79">
        <v>44956.756967592592</v>
      </c>
      <c r="AG243" s="85">
        <v>44956</v>
      </c>
      <c r="AH243" s="82" t="s">
        <v>3000</v>
      </c>
      <c r="AI243" s="77" t="b">
        <v>0</v>
      </c>
      <c r="AJ243" s="77"/>
      <c r="AK243" s="77"/>
      <c r="AL243" s="77"/>
      <c r="AM243" s="77"/>
      <c r="AN243" s="77"/>
      <c r="AO243" s="77"/>
      <c r="AP243" s="77"/>
      <c r="AQ243" s="77" t="s">
        <v>4012</v>
      </c>
      <c r="AR243" s="77"/>
      <c r="AS243" s="77"/>
      <c r="AT243" s="77"/>
      <c r="AU243" s="77"/>
      <c r="AV243" s="80" t="str">
        <f>HYPERLINK("https://pbs.twimg.com/media/FnvUiL5WYAQxh7L.jpg")</f>
        <v>https://pbs.twimg.com/media/FnvUiL5WYAQxh7L.jpg</v>
      </c>
      <c r="AW243" s="82" t="s">
        <v>4577</v>
      </c>
      <c r="AX243" s="82" t="s">
        <v>4577</v>
      </c>
      <c r="AY243" s="77"/>
      <c r="AZ243" s="82" t="s">
        <v>5615</v>
      </c>
      <c r="BA243" s="82" t="s">
        <v>5615</v>
      </c>
      <c r="BB243" s="82" t="s">
        <v>5615</v>
      </c>
      <c r="BC243" s="82" t="s">
        <v>4577</v>
      </c>
      <c r="BD243" s="82" t="s">
        <v>5907</v>
      </c>
      <c r="BE243" s="77"/>
      <c r="BF243" s="77"/>
      <c r="BG243" s="77"/>
      <c r="BH243" s="77"/>
      <c r="BI243" s="77"/>
    </row>
    <row r="244" spans="1:61" x14ac:dyDescent="0.25">
      <c r="A244" s="62" t="s">
        <v>299</v>
      </c>
      <c r="B244" s="62" t="s">
        <v>299</v>
      </c>
      <c r="C244" s="63"/>
      <c r="D244" s="64"/>
      <c r="E244" s="65"/>
      <c r="F244" s="66"/>
      <c r="G244" s="63"/>
      <c r="H244" s="67"/>
      <c r="I244" s="68"/>
      <c r="J244" s="68"/>
      <c r="K244" s="32"/>
      <c r="L244" s="75">
        <v>244</v>
      </c>
      <c r="M244" s="75"/>
      <c r="N244" s="70"/>
      <c r="O244" s="77" t="s">
        <v>179</v>
      </c>
      <c r="P244" s="79">
        <v>45024.668541666666</v>
      </c>
      <c r="Q244" s="77" t="s">
        <v>827</v>
      </c>
      <c r="R244" s="77">
        <v>0</v>
      </c>
      <c r="S244" s="77">
        <v>0</v>
      </c>
      <c r="T244" s="77">
        <v>0</v>
      </c>
      <c r="U244" s="77">
        <v>0</v>
      </c>
      <c r="V244" s="77">
        <v>236</v>
      </c>
      <c r="W244" s="82" t="s">
        <v>1674</v>
      </c>
      <c r="X244" s="77"/>
      <c r="Y244" s="77"/>
      <c r="Z244" s="77"/>
      <c r="AA244" s="77"/>
      <c r="AB244" s="77"/>
      <c r="AC244" s="82" t="s">
        <v>2719</v>
      </c>
      <c r="AD244" s="77" t="s">
        <v>2752</v>
      </c>
      <c r="AE244" s="80" t="str">
        <f>HYPERLINK("https://twitter.com/nunocostaswiss/status/1644732509119295488")</f>
        <v>https://twitter.com/nunocostaswiss/status/1644732509119295488</v>
      </c>
      <c r="AF244" s="79">
        <v>45024.668541666666</v>
      </c>
      <c r="AG244" s="85">
        <v>45024</v>
      </c>
      <c r="AH244" s="82" t="s">
        <v>3001</v>
      </c>
      <c r="AI244" s="77"/>
      <c r="AJ244" s="77"/>
      <c r="AK244" s="77"/>
      <c r="AL244" s="77"/>
      <c r="AM244" s="77"/>
      <c r="AN244" s="77"/>
      <c r="AO244" s="77"/>
      <c r="AP244" s="77"/>
      <c r="AQ244" s="77"/>
      <c r="AR244" s="77"/>
      <c r="AS244" s="77"/>
      <c r="AT244" s="77"/>
      <c r="AU244" s="77"/>
      <c r="AV244" s="80" t="str">
        <f>HYPERLINK("https://pbs.twimg.com/profile_images/1636055213202128896/90wMZmyy_normal.jpg")</f>
        <v>https://pbs.twimg.com/profile_images/1636055213202128896/90wMZmyy_normal.jpg</v>
      </c>
      <c r="AW244" s="82" t="s">
        <v>4578</v>
      </c>
      <c r="AX244" s="82" t="s">
        <v>4578</v>
      </c>
      <c r="AY244" s="77"/>
      <c r="AZ244" s="82" t="s">
        <v>5615</v>
      </c>
      <c r="BA244" s="82" t="s">
        <v>5615</v>
      </c>
      <c r="BB244" s="82" t="s">
        <v>5615</v>
      </c>
      <c r="BC244" s="82" t="s">
        <v>4578</v>
      </c>
      <c r="BD244" s="82" t="s">
        <v>5908</v>
      </c>
      <c r="BE244" s="77"/>
      <c r="BF244" s="77"/>
      <c r="BG244" s="77"/>
      <c r="BH244" s="77"/>
      <c r="BI244" s="77"/>
    </row>
    <row r="245" spans="1:61" x14ac:dyDescent="0.25">
      <c r="A245" s="62" t="s">
        <v>299</v>
      </c>
      <c r="B245" s="62" t="s">
        <v>299</v>
      </c>
      <c r="C245" s="63"/>
      <c r="D245" s="64"/>
      <c r="E245" s="65"/>
      <c r="F245" s="66"/>
      <c r="G245" s="63"/>
      <c r="H245" s="67"/>
      <c r="I245" s="68"/>
      <c r="J245" s="68"/>
      <c r="K245" s="32"/>
      <c r="L245" s="75">
        <v>245</v>
      </c>
      <c r="M245" s="75"/>
      <c r="N245" s="70"/>
      <c r="O245" s="77" t="s">
        <v>179</v>
      </c>
      <c r="P245" s="79">
        <v>45046.792326388888</v>
      </c>
      <c r="Q245" s="77" t="s">
        <v>828</v>
      </c>
      <c r="R245" s="77">
        <v>0</v>
      </c>
      <c r="S245" s="77">
        <v>1</v>
      </c>
      <c r="T245" s="77">
        <v>0</v>
      </c>
      <c r="U245" s="77">
        <v>0</v>
      </c>
      <c r="V245" s="77">
        <v>97</v>
      </c>
      <c r="W245" s="82" t="s">
        <v>1674</v>
      </c>
      <c r="X245" s="77"/>
      <c r="Y245" s="77"/>
      <c r="Z245" s="77"/>
      <c r="AA245" s="77"/>
      <c r="AB245" s="77"/>
      <c r="AC245" s="82" t="s">
        <v>2719</v>
      </c>
      <c r="AD245" s="77" t="s">
        <v>2752</v>
      </c>
      <c r="AE245" s="80" t="str">
        <f>HYPERLINK("https://twitter.com/nunocostaswiss/status/1652749899358777347")</f>
        <v>https://twitter.com/nunocostaswiss/status/1652749899358777347</v>
      </c>
      <c r="AF245" s="79">
        <v>45046.792326388888</v>
      </c>
      <c r="AG245" s="85">
        <v>45046</v>
      </c>
      <c r="AH245" s="82" t="s">
        <v>3002</v>
      </c>
      <c r="AI245" s="77"/>
      <c r="AJ245" s="77"/>
      <c r="AK245" s="77"/>
      <c r="AL245" s="77"/>
      <c r="AM245" s="77"/>
      <c r="AN245" s="77"/>
      <c r="AO245" s="77"/>
      <c r="AP245" s="77"/>
      <c r="AQ245" s="77"/>
      <c r="AR245" s="77"/>
      <c r="AS245" s="77"/>
      <c r="AT245" s="77"/>
      <c r="AU245" s="77"/>
      <c r="AV245" s="80" t="str">
        <f>HYPERLINK("https://pbs.twimg.com/profile_images/1636055213202128896/90wMZmyy_normal.jpg")</f>
        <v>https://pbs.twimg.com/profile_images/1636055213202128896/90wMZmyy_normal.jpg</v>
      </c>
      <c r="AW245" s="82" t="s">
        <v>4579</v>
      </c>
      <c r="AX245" s="82" t="s">
        <v>4579</v>
      </c>
      <c r="AY245" s="77"/>
      <c r="AZ245" s="82" t="s">
        <v>5615</v>
      </c>
      <c r="BA245" s="82" t="s">
        <v>5615</v>
      </c>
      <c r="BB245" s="82" t="s">
        <v>5615</v>
      </c>
      <c r="BC245" s="82" t="s">
        <v>4579</v>
      </c>
      <c r="BD245" s="82" t="s">
        <v>5908</v>
      </c>
      <c r="BE245" s="77"/>
      <c r="BF245" s="77"/>
      <c r="BG245" s="77"/>
      <c r="BH245" s="77"/>
      <c r="BI245" s="77"/>
    </row>
    <row r="246" spans="1:61" x14ac:dyDescent="0.25">
      <c r="A246" s="62" t="s">
        <v>300</v>
      </c>
      <c r="B246" s="62" t="s">
        <v>300</v>
      </c>
      <c r="C246" s="63"/>
      <c r="D246" s="64"/>
      <c r="E246" s="65"/>
      <c r="F246" s="66"/>
      <c r="G246" s="63"/>
      <c r="H246" s="67"/>
      <c r="I246" s="68"/>
      <c r="J246" s="68"/>
      <c r="K246" s="32"/>
      <c r="L246" s="75">
        <v>246</v>
      </c>
      <c r="M246" s="75"/>
      <c r="N246" s="70"/>
      <c r="O246" s="77" t="s">
        <v>179</v>
      </c>
      <c r="P246" s="79">
        <v>45115.837199074071</v>
      </c>
      <c r="Q246" s="77" t="s">
        <v>829</v>
      </c>
      <c r="R246" s="77">
        <v>0</v>
      </c>
      <c r="S246" s="77">
        <v>0</v>
      </c>
      <c r="T246" s="77">
        <v>0</v>
      </c>
      <c r="U246" s="77">
        <v>0</v>
      </c>
      <c r="V246" s="77">
        <v>1</v>
      </c>
      <c r="W246" s="82" t="s">
        <v>1563</v>
      </c>
      <c r="X246" s="77"/>
      <c r="Y246" s="77"/>
      <c r="Z246" s="77"/>
      <c r="AA246" s="77"/>
      <c r="AB246" s="77"/>
      <c r="AC246" s="82" t="s">
        <v>2720</v>
      </c>
      <c r="AD246" s="77" t="s">
        <v>2752</v>
      </c>
      <c r="AE246" s="80" t="str">
        <f>HYPERLINK("https://twitter.com/ilha_invest/status/1677770923972108290")</f>
        <v>https://twitter.com/ilha_invest/status/1677770923972108290</v>
      </c>
      <c r="AF246" s="79">
        <v>45115.837199074071</v>
      </c>
      <c r="AG246" s="85">
        <v>45115</v>
      </c>
      <c r="AH246" s="82" t="s">
        <v>3003</v>
      </c>
      <c r="AI246" s="77"/>
      <c r="AJ246" s="77"/>
      <c r="AK246" s="77"/>
      <c r="AL246" s="77"/>
      <c r="AM246" s="77"/>
      <c r="AN246" s="77"/>
      <c r="AO246" s="77"/>
      <c r="AP246" s="77"/>
      <c r="AQ246" s="77"/>
      <c r="AR246" s="77"/>
      <c r="AS246" s="77"/>
      <c r="AT246" s="77"/>
      <c r="AU246" s="77"/>
      <c r="AV246" s="80" t="str">
        <f>HYPERLINK("https://pbs.twimg.com/profile_images/1633677369318817792/znpjaDrE_normal.jpg")</f>
        <v>https://pbs.twimg.com/profile_images/1633677369318817792/znpjaDrE_normal.jpg</v>
      </c>
      <c r="AW246" s="82" t="s">
        <v>4580</v>
      </c>
      <c r="AX246" s="82" t="s">
        <v>4580</v>
      </c>
      <c r="AY246" s="77"/>
      <c r="AZ246" s="82" t="s">
        <v>5615</v>
      </c>
      <c r="BA246" s="82" t="s">
        <v>5615</v>
      </c>
      <c r="BB246" s="82" t="s">
        <v>5615</v>
      </c>
      <c r="BC246" s="82" t="s">
        <v>4580</v>
      </c>
      <c r="BD246" s="82" t="s">
        <v>5909</v>
      </c>
      <c r="BE246" s="77"/>
      <c r="BF246" s="77"/>
      <c r="BG246" s="77"/>
      <c r="BH246" s="77"/>
      <c r="BI246" s="77"/>
    </row>
    <row r="247" spans="1:61" x14ac:dyDescent="0.25">
      <c r="A247" s="62" t="s">
        <v>301</v>
      </c>
      <c r="B247" s="62" t="s">
        <v>301</v>
      </c>
      <c r="C247" s="63"/>
      <c r="D247" s="64"/>
      <c r="E247" s="65"/>
      <c r="F247" s="66"/>
      <c r="G247" s="63"/>
      <c r="H247" s="67"/>
      <c r="I247" s="68"/>
      <c r="J247" s="68"/>
      <c r="K247" s="32"/>
      <c r="L247" s="75">
        <v>247</v>
      </c>
      <c r="M247" s="75"/>
      <c r="N247" s="70"/>
      <c r="O247" s="77" t="s">
        <v>179</v>
      </c>
      <c r="P247" s="79">
        <v>44962.944548611114</v>
      </c>
      <c r="Q247" s="77" t="s">
        <v>830</v>
      </c>
      <c r="R247" s="77">
        <v>0</v>
      </c>
      <c r="S247" s="77">
        <v>0</v>
      </c>
      <c r="T247" s="77">
        <v>0</v>
      </c>
      <c r="U247" s="77">
        <v>0</v>
      </c>
      <c r="V247" s="77">
        <v>10</v>
      </c>
      <c r="W247" s="82" t="s">
        <v>1675</v>
      </c>
      <c r="X247" s="80" t="str">
        <f>HYPERLINK("https://link.medium.com/0VfiJwvlbxb")</f>
        <v>https://link.medium.com/0VfiJwvlbxb</v>
      </c>
      <c r="Y247" s="77" t="s">
        <v>2142</v>
      </c>
      <c r="Z247" s="77"/>
      <c r="AA247" s="77" t="s">
        <v>2387</v>
      </c>
      <c r="AB247" s="77" t="s">
        <v>2714</v>
      </c>
      <c r="AC247" s="82" t="s">
        <v>2720</v>
      </c>
      <c r="AD247" s="77" t="s">
        <v>2752</v>
      </c>
      <c r="AE247" s="80" t="str">
        <f>HYPERLINK("https://twitter.com/hilvieira/status/1622364483984232449")</f>
        <v>https://twitter.com/hilvieira/status/1622364483984232449</v>
      </c>
      <c r="AF247" s="79">
        <v>44962.944548611114</v>
      </c>
      <c r="AG247" s="85">
        <v>44962</v>
      </c>
      <c r="AH247" s="82" t="s">
        <v>3004</v>
      </c>
      <c r="AI247" s="77" t="b">
        <v>0</v>
      </c>
      <c r="AJ247" s="77"/>
      <c r="AK247" s="77"/>
      <c r="AL247" s="77"/>
      <c r="AM247" s="77"/>
      <c r="AN247" s="77"/>
      <c r="AO247" s="77"/>
      <c r="AP247" s="77"/>
      <c r="AQ247" s="77" t="s">
        <v>4013</v>
      </c>
      <c r="AR247" s="77"/>
      <c r="AS247" s="77"/>
      <c r="AT247" s="77"/>
      <c r="AU247" s="77"/>
      <c r="AV247" s="80" t="str">
        <f>HYPERLINK("https://pbs.twimg.com/media/FoPL5fFXwAMquVg.jpg")</f>
        <v>https://pbs.twimg.com/media/FoPL5fFXwAMquVg.jpg</v>
      </c>
      <c r="AW247" s="82" t="s">
        <v>4581</v>
      </c>
      <c r="AX247" s="82" t="s">
        <v>4581</v>
      </c>
      <c r="AY247" s="77"/>
      <c r="AZ247" s="82" t="s">
        <v>5615</v>
      </c>
      <c r="BA247" s="82" t="s">
        <v>5615</v>
      </c>
      <c r="BB247" s="82" t="s">
        <v>5615</v>
      </c>
      <c r="BC247" s="82" t="s">
        <v>4581</v>
      </c>
      <c r="BD247" s="77">
        <v>38833158</v>
      </c>
      <c r="BE247" s="77"/>
      <c r="BF247" s="77"/>
      <c r="BG247" s="77"/>
      <c r="BH247" s="77"/>
      <c r="BI247" s="77"/>
    </row>
    <row r="248" spans="1:61" x14ac:dyDescent="0.25">
      <c r="A248" s="62" t="s">
        <v>302</v>
      </c>
      <c r="B248" s="62" t="s">
        <v>302</v>
      </c>
      <c r="C248" s="63"/>
      <c r="D248" s="64"/>
      <c r="E248" s="65"/>
      <c r="F248" s="66"/>
      <c r="G248" s="63"/>
      <c r="H248" s="67"/>
      <c r="I248" s="68"/>
      <c r="J248" s="68"/>
      <c r="K248" s="32"/>
      <c r="L248" s="75">
        <v>248</v>
      </c>
      <c r="M248" s="75"/>
      <c r="N248" s="70"/>
      <c r="O248" s="77" t="s">
        <v>179</v>
      </c>
      <c r="P248" s="79">
        <v>44929.780659722222</v>
      </c>
      <c r="Q248" s="77" t="s">
        <v>831</v>
      </c>
      <c r="R248" s="77">
        <v>0</v>
      </c>
      <c r="S248" s="77">
        <v>0</v>
      </c>
      <c r="T248" s="77">
        <v>0</v>
      </c>
      <c r="U248" s="77">
        <v>0</v>
      </c>
      <c r="V248" s="77">
        <v>12</v>
      </c>
      <c r="W248" s="82" t="s">
        <v>1676</v>
      </c>
      <c r="X248" s="80" t="str">
        <f>HYPERLINK("https://www.instagram.com/p/Cm9qkSAuvRc/?igshid=YTgzYjQ4ZTY=")</f>
        <v>https://www.instagram.com/p/Cm9qkSAuvRc/?igshid=YTgzYjQ4ZTY=</v>
      </c>
      <c r="Y248" s="77" t="s">
        <v>2130</v>
      </c>
      <c r="Z248" s="77"/>
      <c r="AA248" s="77"/>
      <c r="AB248" s="77"/>
      <c r="AC248" s="82" t="s">
        <v>2723</v>
      </c>
      <c r="AD248" s="77" t="s">
        <v>2752</v>
      </c>
      <c r="AE248" s="80" t="str">
        <f>HYPERLINK("https://twitter.com/cyaned92/status/1610346293431345152")</f>
        <v>https://twitter.com/cyaned92/status/1610346293431345152</v>
      </c>
      <c r="AF248" s="79">
        <v>44929.780659722222</v>
      </c>
      <c r="AG248" s="85">
        <v>44929</v>
      </c>
      <c r="AH248" s="82" t="s">
        <v>2848</v>
      </c>
      <c r="AI248" s="77" t="b">
        <v>0</v>
      </c>
      <c r="AJ248" s="77"/>
      <c r="AK248" s="77"/>
      <c r="AL248" s="77"/>
      <c r="AM248" s="77"/>
      <c r="AN248" s="77"/>
      <c r="AO248" s="77"/>
      <c r="AP248" s="77"/>
      <c r="AQ248" s="77"/>
      <c r="AR248" s="77"/>
      <c r="AS248" s="77"/>
      <c r="AT248" s="77"/>
      <c r="AU248" s="77"/>
      <c r="AV248" s="80" t="str">
        <f>HYPERLINK("https://pbs.twimg.com/profile_images/1667934670296686595/5BQxCgYW_normal.jpg")</f>
        <v>https://pbs.twimg.com/profile_images/1667934670296686595/5BQxCgYW_normal.jpg</v>
      </c>
      <c r="AW248" s="82" t="s">
        <v>4582</v>
      </c>
      <c r="AX248" s="82" t="s">
        <v>4582</v>
      </c>
      <c r="AY248" s="77"/>
      <c r="AZ248" s="82" t="s">
        <v>5615</v>
      </c>
      <c r="BA248" s="82" t="s">
        <v>5615</v>
      </c>
      <c r="BB248" s="82" t="s">
        <v>5615</v>
      </c>
      <c r="BC248" s="82" t="s">
        <v>4582</v>
      </c>
      <c r="BD248" s="82" t="s">
        <v>5910</v>
      </c>
      <c r="BE248" s="77"/>
      <c r="BF248" s="77"/>
      <c r="BG248" s="77"/>
      <c r="BH248" s="77"/>
      <c r="BI248" s="77"/>
    </row>
    <row r="249" spans="1:61" x14ac:dyDescent="0.25">
      <c r="A249" s="62" t="s">
        <v>303</v>
      </c>
      <c r="B249" s="62" t="s">
        <v>303</v>
      </c>
      <c r="C249" s="63"/>
      <c r="D249" s="64"/>
      <c r="E249" s="65"/>
      <c r="F249" s="66"/>
      <c r="G249" s="63"/>
      <c r="H249" s="67"/>
      <c r="I249" s="68"/>
      <c r="J249" s="68"/>
      <c r="K249" s="32"/>
      <c r="L249" s="75">
        <v>249</v>
      </c>
      <c r="M249" s="75"/>
      <c r="N249" s="70"/>
      <c r="O249" s="77" t="s">
        <v>179</v>
      </c>
      <c r="P249" s="79">
        <v>45181.254976851851</v>
      </c>
      <c r="Q249" s="77" t="s">
        <v>832</v>
      </c>
      <c r="R249" s="77">
        <v>0</v>
      </c>
      <c r="S249" s="77">
        <v>0</v>
      </c>
      <c r="T249" s="77">
        <v>0</v>
      </c>
      <c r="U249" s="77">
        <v>0</v>
      </c>
      <c r="V249" s="77">
        <v>8</v>
      </c>
      <c r="W249" s="82" t="s">
        <v>1677</v>
      </c>
      <c r="X249" s="77"/>
      <c r="Y249" s="77"/>
      <c r="Z249" s="77"/>
      <c r="AA249" s="77" t="s">
        <v>2388</v>
      </c>
      <c r="AB249" s="77" t="s">
        <v>2714</v>
      </c>
      <c r="AC249" s="82" t="s">
        <v>2731</v>
      </c>
      <c r="AD249" s="77" t="s">
        <v>2752</v>
      </c>
      <c r="AE249" s="80" t="str">
        <f>HYPERLINK("https://twitter.com/alexempreender/status/1701477534733381749")</f>
        <v>https://twitter.com/alexempreender/status/1701477534733381749</v>
      </c>
      <c r="AF249" s="79">
        <v>45181.254976851851</v>
      </c>
      <c r="AG249" s="85">
        <v>45181</v>
      </c>
      <c r="AH249" s="82" t="s">
        <v>3005</v>
      </c>
      <c r="AI249" s="77" t="b">
        <v>0</v>
      </c>
      <c r="AJ249" s="77"/>
      <c r="AK249" s="77"/>
      <c r="AL249" s="77"/>
      <c r="AM249" s="77"/>
      <c r="AN249" s="77"/>
      <c r="AO249" s="77"/>
      <c r="AP249" s="77"/>
      <c r="AQ249" s="77" t="s">
        <v>4014</v>
      </c>
      <c r="AR249" s="77"/>
      <c r="AS249" s="77"/>
      <c r="AT249" s="77"/>
      <c r="AU249" s="77"/>
      <c r="AV249" s="80" t="str">
        <f>HYPERLINK("https://pbs.twimg.com/media/F5zczRsWIAAYj8x.jpg")</f>
        <v>https://pbs.twimg.com/media/F5zczRsWIAAYj8x.jpg</v>
      </c>
      <c r="AW249" s="82" t="s">
        <v>4583</v>
      </c>
      <c r="AX249" s="82" t="s">
        <v>4583</v>
      </c>
      <c r="AY249" s="77"/>
      <c r="AZ249" s="82" t="s">
        <v>5615</v>
      </c>
      <c r="BA249" s="82" t="s">
        <v>5615</v>
      </c>
      <c r="BB249" s="82" t="s">
        <v>5615</v>
      </c>
      <c r="BC249" s="82" t="s">
        <v>4583</v>
      </c>
      <c r="BD249" s="82" t="s">
        <v>5911</v>
      </c>
      <c r="BE249" s="77"/>
      <c r="BF249" s="77"/>
      <c r="BG249" s="77"/>
      <c r="BH249" s="77"/>
      <c r="BI249" s="77"/>
    </row>
    <row r="250" spans="1:61" x14ac:dyDescent="0.25">
      <c r="A250" s="62" t="s">
        <v>304</v>
      </c>
      <c r="B250" s="62" t="s">
        <v>304</v>
      </c>
      <c r="C250" s="63"/>
      <c r="D250" s="64"/>
      <c r="E250" s="65"/>
      <c r="F250" s="66"/>
      <c r="G250" s="63"/>
      <c r="H250" s="67"/>
      <c r="I250" s="68"/>
      <c r="J250" s="68"/>
      <c r="K250" s="32"/>
      <c r="L250" s="75">
        <v>250</v>
      </c>
      <c r="M250" s="75"/>
      <c r="N250" s="70"/>
      <c r="O250" s="77" t="s">
        <v>179</v>
      </c>
      <c r="P250" s="79">
        <v>45001.594629629632</v>
      </c>
      <c r="Q250" s="77" t="s">
        <v>833</v>
      </c>
      <c r="R250" s="77">
        <v>3</v>
      </c>
      <c r="S250" s="77">
        <v>21</v>
      </c>
      <c r="T250" s="77">
        <v>0</v>
      </c>
      <c r="U250" s="77">
        <v>0</v>
      </c>
      <c r="V250" s="77">
        <v>497</v>
      </c>
      <c r="W250" s="82" t="s">
        <v>1678</v>
      </c>
      <c r="X250" s="80" t="str">
        <f>HYPERLINK("https://cursosheliocouto.com.br/curso/intencao-subjetiva-e-prosperidade/")</f>
        <v>https://cursosheliocouto.com.br/curso/intencao-subjetiva-e-prosperidade/</v>
      </c>
      <c r="Y250" s="77" t="s">
        <v>2129</v>
      </c>
      <c r="Z250" s="77"/>
      <c r="AA250" s="77" t="s">
        <v>2389</v>
      </c>
      <c r="AB250" s="77" t="s">
        <v>2714</v>
      </c>
      <c r="AC250" s="82" t="s">
        <v>2720</v>
      </c>
      <c r="AD250" s="77" t="s">
        <v>2752</v>
      </c>
      <c r="AE250" s="80" t="str">
        <f>HYPERLINK("https://twitter.com/helio_couto/status/1636370805008515074")</f>
        <v>https://twitter.com/helio_couto/status/1636370805008515074</v>
      </c>
      <c r="AF250" s="79">
        <v>45001.594629629632</v>
      </c>
      <c r="AG250" s="85">
        <v>45001</v>
      </c>
      <c r="AH250" s="82" t="s">
        <v>3006</v>
      </c>
      <c r="AI250" s="77" t="b">
        <v>0</v>
      </c>
      <c r="AJ250" s="77"/>
      <c r="AK250" s="77"/>
      <c r="AL250" s="77"/>
      <c r="AM250" s="77"/>
      <c r="AN250" s="77"/>
      <c r="AO250" s="77"/>
      <c r="AP250" s="77"/>
      <c r="AQ250" s="77" t="s">
        <v>4015</v>
      </c>
      <c r="AR250" s="77"/>
      <c r="AS250" s="77"/>
      <c r="AT250" s="77"/>
      <c r="AU250" s="77"/>
      <c r="AV250" s="80" t="str">
        <f>HYPERLINK("https://pbs.twimg.com/media/FrWOkmfaMAIrDpJ.jpg")</f>
        <v>https://pbs.twimg.com/media/FrWOkmfaMAIrDpJ.jpg</v>
      </c>
      <c r="AW250" s="82" t="s">
        <v>4584</v>
      </c>
      <c r="AX250" s="82" t="s">
        <v>4584</v>
      </c>
      <c r="AY250" s="77"/>
      <c r="AZ250" s="82" t="s">
        <v>5615</v>
      </c>
      <c r="BA250" s="82" t="s">
        <v>5615</v>
      </c>
      <c r="BB250" s="82" t="s">
        <v>5615</v>
      </c>
      <c r="BC250" s="82" t="s">
        <v>4584</v>
      </c>
      <c r="BD250" s="77">
        <v>339081837</v>
      </c>
      <c r="BE250" s="77"/>
      <c r="BF250" s="77"/>
      <c r="BG250" s="77"/>
      <c r="BH250" s="77"/>
      <c r="BI250" s="77"/>
    </row>
    <row r="251" spans="1:61" x14ac:dyDescent="0.25">
      <c r="A251" s="62" t="s">
        <v>305</v>
      </c>
      <c r="B251" s="62" t="s">
        <v>305</v>
      </c>
      <c r="C251" s="63"/>
      <c r="D251" s="64"/>
      <c r="E251" s="65"/>
      <c r="F251" s="66"/>
      <c r="G251" s="63"/>
      <c r="H251" s="67"/>
      <c r="I251" s="68"/>
      <c r="J251" s="68"/>
      <c r="K251" s="32"/>
      <c r="L251" s="75">
        <v>251</v>
      </c>
      <c r="M251" s="75"/>
      <c r="N251" s="70"/>
      <c r="O251" s="77" t="s">
        <v>179</v>
      </c>
      <c r="P251" s="79">
        <v>45020.431261574071</v>
      </c>
      <c r="Q251" s="80" t="str">
        <f>HYPERLINK("https://t.co/DDmRplCXDD
#PaiRicoPaiPobre
#EducaçãoFinanceira
#FinançasPessoais
#Investimentos
#SucessoFinanceiro
#Empreendedorismo
#LiberdadeFinanceira
#PlanejamentoFinanceiro
#EducaçãoFinanceiraParaTodos
#RiquezaMental")</f>
        <v>https://t.co/DDmRplCXDD
#PaiRicoPaiPobre
#EducaçãoFinanceira
#FinançasPessoais
#Investimentos
#SucessoFinanceiro
#Empreendedorismo
#LiberdadeFinanceira
#PlanejamentoFinanceiro
#EducaçãoFinanceiraParaTodos
#RiquezaMental</v>
      </c>
      <c r="R251" s="77">
        <v>0</v>
      </c>
      <c r="S251" s="77">
        <v>0</v>
      </c>
      <c r="T251" s="77">
        <v>0</v>
      </c>
      <c r="U251" s="77">
        <v>0</v>
      </c>
      <c r="V251" s="77">
        <v>9</v>
      </c>
      <c r="W251" s="82" t="s">
        <v>1679</v>
      </c>
      <c r="X251" s="80" t="str">
        <f>HYPERLINK("https://odysee.com/@contab_invest:c/pairicopaipobre:1")</f>
        <v>https://odysee.com/@contab_invest:c/pairicopaipobre:1</v>
      </c>
      <c r="Y251" s="77" t="s">
        <v>2143</v>
      </c>
      <c r="Z251" s="77"/>
      <c r="AA251" s="77"/>
      <c r="AB251" s="77"/>
      <c r="AC251" s="82" t="s">
        <v>2722</v>
      </c>
      <c r="AD251" s="77" t="s">
        <v>2753</v>
      </c>
      <c r="AE251" s="80" t="str">
        <f>HYPERLINK("https://twitter.com/axcrestfall/status/1643196969546833920")</f>
        <v>https://twitter.com/axcrestfall/status/1643196969546833920</v>
      </c>
      <c r="AF251" s="79">
        <v>45020.431261574071</v>
      </c>
      <c r="AG251" s="85">
        <v>45020</v>
      </c>
      <c r="AH251" s="82" t="s">
        <v>3007</v>
      </c>
      <c r="AI251" s="77" t="b">
        <v>0</v>
      </c>
      <c r="AJ251" s="77"/>
      <c r="AK251" s="77"/>
      <c r="AL251" s="77"/>
      <c r="AM251" s="77"/>
      <c r="AN251" s="77"/>
      <c r="AO251" s="77"/>
      <c r="AP251" s="77"/>
      <c r="AQ251" s="77"/>
      <c r="AR251" s="77"/>
      <c r="AS251" s="77"/>
      <c r="AT251" s="77"/>
      <c r="AU251" s="77"/>
      <c r="AV251" s="80" t="str">
        <f>HYPERLINK("https://pbs.twimg.com/profile_images/1632325316768145408/nt6F2o4Z_normal.jpg")</f>
        <v>https://pbs.twimg.com/profile_images/1632325316768145408/nt6F2o4Z_normal.jpg</v>
      </c>
      <c r="AW251" s="82" t="s">
        <v>4585</v>
      </c>
      <c r="AX251" s="82" t="s">
        <v>4585</v>
      </c>
      <c r="AY251" s="77"/>
      <c r="AZ251" s="82" t="s">
        <v>5615</v>
      </c>
      <c r="BA251" s="82" t="s">
        <v>5615</v>
      </c>
      <c r="BB251" s="82" t="s">
        <v>5615</v>
      </c>
      <c r="BC251" s="82" t="s">
        <v>4585</v>
      </c>
      <c r="BD251" s="82" t="s">
        <v>5912</v>
      </c>
      <c r="BE251" s="77"/>
      <c r="BF251" s="77"/>
      <c r="BG251" s="77"/>
      <c r="BH251" s="77"/>
      <c r="BI251" s="77"/>
    </row>
    <row r="252" spans="1:61" x14ac:dyDescent="0.25">
      <c r="A252" s="62" t="s">
        <v>306</v>
      </c>
      <c r="B252" s="62" t="s">
        <v>306</v>
      </c>
      <c r="C252" s="63"/>
      <c r="D252" s="64"/>
      <c r="E252" s="65"/>
      <c r="F252" s="66"/>
      <c r="G252" s="63"/>
      <c r="H252" s="67"/>
      <c r="I252" s="68"/>
      <c r="J252" s="68"/>
      <c r="K252" s="32"/>
      <c r="L252" s="75">
        <v>252</v>
      </c>
      <c r="M252" s="75"/>
      <c r="N252" s="70"/>
      <c r="O252" s="77" t="s">
        <v>179</v>
      </c>
      <c r="P252" s="79">
        <v>45140.876446759263</v>
      </c>
      <c r="Q252" s="77" t="s">
        <v>834</v>
      </c>
      <c r="R252" s="77">
        <v>0</v>
      </c>
      <c r="S252" s="77">
        <v>0</v>
      </c>
      <c r="T252" s="77">
        <v>0</v>
      </c>
      <c r="U252" s="77">
        <v>0</v>
      </c>
      <c r="V252" s="77">
        <v>19</v>
      </c>
      <c r="W252" s="82" t="s">
        <v>1680</v>
      </c>
      <c r="X252" s="77"/>
      <c r="Y252" s="77"/>
      <c r="Z252" s="77"/>
      <c r="AA252" s="77" t="s">
        <v>2390</v>
      </c>
      <c r="AB252" s="77" t="s">
        <v>2714</v>
      </c>
      <c r="AC252" s="82" t="s">
        <v>2732</v>
      </c>
      <c r="AD252" s="77" t="s">
        <v>2752</v>
      </c>
      <c r="AE252" s="80" t="str">
        <f>HYPERLINK("https://twitter.com/luxcapital_/status/1686844843555803136")</f>
        <v>https://twitter.com/luxcapital_/status/1686844843555803136</v>
      </c>
      <c r="AF252" s="79">
        <v>45140.876446759263</v>
      </c>
      <c r="AG252" s="85">
        <v>45140</v>
      </c>
      <c r="AH252" s="82" t="s">
        <v>3008</v>
      </c>
      <c r="AI252" s="77" t="b">
        <v>0</v>
      </c>
      <c r="AJ252" s="77"/>
      <c r="AK252" s="77"/>
      <c r="AL252" s="77"/>
      <c r="AM252" s="77"/>
      <c r="AN252" s="77"/>
      <c r="AO252" s="77"/>
      <c r="AP252" s="77"/>
      <c r="AQ252" s="77" t="s">
        <v>4016</v>
      </c>
      <c r="AR252" s="77"/>
      <c r="AS252" s="77"/>
      <c r="AT252" s="77"/>
      <c r="AU252" s="77"/>
      <c r="AV252" s="80" t="str">
        <f>HYPERLINK("https://pbs.twimg.com/media/F2jgchVWcAAPFmx.jpg")</f>
        <v>https://pbs.twimg.com/media/F2jgchVWcAAPFmx.jpg</v>
      </c>
      <c r="AW252" s="82" t="s">
        <v>4586</v>
      </c>
      <c r="AX252" s="82" t="s">
        <v>4586</v>
      </c>
      <c r="AY252" s="77"/>
      <c r="AZ252" s="82" t="s">
        <v>5615</v>
      </c>
      <c r="BA252" s="82" t="s">
        <v>5615</v>
      </c>
      <c r="BB252" s="82" t="s">
        <v>5615</v>
      </c>
      <c r="BC252" s="82" t="s">
        <v>4586</v>
      </c>
      <c r="BD252" s="82" t="s">
        <v>5913</v>
      </c>
      <c r="BE252" s="77"/>
      <c r="BF252" s="77"/>
      <c r="BG252" s="77"/>
      <c r="BH252" s="77"/>
      <c r="BI252" s="77"/>
    </row>
    <row r="253" spans="1:61" x14ac:dyDescent="0.25">
      <c r="A253" s="62" t="s">
        <v>307</v>
      </c>
      <c r="B253" s="62" t="s">
        <v>307</v>
      </c>
      <c r="C253" s="63"/>
      <c r="D253" s="64"/>
      <c r="E253" s="65"/>
      <c r="F253" s="66"/>
      <c r="G253" s="63"/>
      <c r="H253" s="67"/>
      <c r="I253" s="68"/>
      <c r="J253" s="68"/>
      <c r="K253" s="32"/>
      <c r="L253" s="75">
        <v>253</v>
      </c>
      <c r="M253" s="75"/>
      <c r="N253" s="70"/>
      <c r="O253" s="77" t="s">
        <v>179</v>
      </c>
      <c r="P253" s="79">
        <v>45022.041689814818</v>
      </c>
      <c r="Q253" s="77" t="s">
        <v>835</v>
      </c>
      <c r="R253" s="77">
        <v>0</v>
      </c>
      <c r="S253" s="77">
        <v>0</v>
      </c>
      <c r="T253" s="77">
        <v>0</v>
      </c>
      <c r="U253" s="77">
        <v>0</v>
      </c>
      <c r="V253" s="77">
        <v>23</v>
      </c>
      <c r="W253" s="82" t="s">
        <v>1681</v>
      </c>
      <c r="X253" s="77"/>
      <c r="Y253" s="77"/>
      <c r="Z253" s="77"/>
      <c r="AA253" s="77" t="s">
        <v>2391</v>
      </c>
      <c r="AB253" s="77" t="s">
        <v>2716</v>
      </c>
      <c r="AC253" s="82" t="s">
        <v>2720</v>
      </c>
      <c r="AD253" s="77" t="s">
        <v>2752</v>
      </c>
      <c r="AE253" s="80" t="str">
        <f>HYPERLINK("https://twitter.com/silvatiago87295/status/1643780568012713985")</f>
        <v>https://twitter.com/silvatiago87295/status/1643780568012713985</v>
      </c>
      <c r="AF253" s="79">
        <v>45022.041689814818</v>
      </c>
      <c r="AG253" s="85">
        <v>45022</v>
      </c>
      <c r="AH253" s="82" t="s">
        <v>3009</v>
      </c>
      <c r="AI253" s="77" t="b">
        <v>0</v>
      </c>
      <c r="AJ253" s="77"/>
      <c r="AK253" s="77"/>
      <c r="AL253" s="77"/>
      <c r="AM253" s="77"/>
      <c r="AN253" s="77"/>
      <c r="AO253" s="77"/>
      <c r="AP253" s="77"/>
      <c r="AQ253" s="77" t="s">
        <v>4017</v>
      </c>
      <c r="AR253" s="77"/>
      <c r="AS253" s="77"/>
      <c r="AT253" s="77"/>
      <c r="AU253" s="77"/>
      <c r="AV253" s="80" t="str">
        <f>HYPERLINK("https://pbs.twimg.com/media/Fs_htmbXgAEdQnY.jpg")</f>
        <v>https://pbs.twimg.com/media/Fs_htmbXgAEdQnY.jpg</v>
      </c>
      <c r="AW253" s="82" t="s">
        <v>4587</v>
      </c>
      <c r="AX253" s="82" t="s">
        <v>4587</v>
      </c>
      <c r="AY253" s="77"/>
      <c r="AZ253" s="82" t="s">
        <v>5615</v>
      </c>
      <c r="BA253" s="82" t="s">
        <v>5615</v>
      </c>
      <c r="BB253" s="82" t="s">
        <v>5615</v>
      </c>
      <c r="BC253" s="82" t="s">
        <v>4587</v>
      </c>
      <c r="BD253" s="82" t="s">
        <v>5914</v>
      </c>
      <c r="BE253" s="77"/>
      <c r="BF253" s="77"/>
      <c r="BG253" s="77"/>
      <c r="BH253" s="77"/>
      <c r="BI253" s="77"/>
    </row>
    <row r="254" spans="1:61" x14ac:dyDescent="0.25">
      <c r="A254" s="62" t="s">
        <v>308</v>
      </c>
      <c r="B254" s="62" t="s">
        <v>308</v>
      </c>
      <c r="C254" s="63"/>
      <c r="D254" s="64"/>
      <c r="E254" s="65"/>
      <c r="F254" s="66"/>
      <c r="G254" s="63"/>
      <c r="H254" s="67"/>
      <c r="I254" s="68"/>
      <c r="J254" s="68"/>
      <c r="K254" s="32"/>
      <c r="L254" s="75">
        <v>254</v>
      </c>
      <c r="M254" s="75"/>
      <c r="N254" s="70"/>
      <c r="O254" s="77" t="s">
        <v>179</v>
      </c>
      <c r="P254" s="79">
        <v>45046.759513888886</v>
      </c>
      <c r="Q254" s="77" t="s">
        <v>836</v>
      </c>
      <c r="R254" s="77">
        <v>0</v>
      </c>
      <c r="S254" s="77">
        <v>1</v>
      </c>
      <c r="T254" s="77">
        <v>0</v>
      </c>
      <c r="U254" s="77">
        <v>0</v>
      </c>
      <c r="V254" s="77">
        <v>15</v>
      </c>
      <c r="W254" s="82" t="s">
        <v>1682</v>
      </c>
      <c r="X254" s="77"/>
      <c r="Y254" s="77"/>
      <c r="Z254" s="77"/>
      <c r="AA254" s="77" t="s">
        <v>2392</v>
      </c>
      <c r="AB254" s="77" t="s">
        <v>2713</v>
      </c>
      <c r="AC254" s="82" t="s">
        <v>2719</v>
      </c>
      <c r="AD254" s="77" t="s">
        <v>2752</v>
      </c>
      <c r="AE254" s="80" t="str">
        <f>HYPERLINK("https://twitter.com/mlkada_invest/status/1652738010797023232")</f>
        <v>https://twitter.com/mlkada_invest/status/1652738010797023232</v>
      </c>
      <c r="AF254" s="79">
        <v>45046.759513888886</v>
      </c>
      <c r="AG254" s="85">
        <v>45046</v>
      </c>
      <c r="AH254" s="82" t="s">
        <v>3010</v>
      </c>
      <c r="AI254" s="77" t="b">
        <v>0</v>
      </c>
      <c r="AJ254" s="77"/>
      <c r="AK254" s="77"/>
      <c r="AL254" s="77"/>
      <c r="AM254" s="77"/>
      <c r="AN254" s="77"/>
      <c r="AO254" s="77"/>
      <c r="AP254" s="77"/>
      <c r="AQ254" s="77" t="s">
        <v>4018</v>
      </c>
      <c r="AR254" s="77">
        <v>10400</v>
      </c>
      <c r="AS254" s="77"/>
      <c r="AT254" s="77"/>
      <c r="AU254" s="77"/>
      <c r="AV254" s="80" t="str">
        <f>HYPERLINK("https://pbs.twimg.com/ext_tw_video_thumb/1652737923509370882/pu/img/ImUJEC7DkWHQd5XC.jpg")</f>
        <v>https://pbs.twimg.com/ext_tw_video_thumb/1652737923509370882/pu/img/ImUJEC7DkWHQd5XC.jpg</v>
      </c>
      <c r="AW254" s="82" t="s">
        <v>4588</v>
      </c>
      <c r="AX254" s="82" t="s">
        <v>4588</v>
      </c>
      <c r="AY254" s="77"/>
      <c r="AZ254" s="82" t="s">
        <v>5615</v>
      </c>
      <c r="BA254" s="82" t="s">
        <v>5615</v>
      </c>
      <c r="BB254" s="82" t="s">
        <v>5615</v>
      </c>
      <c r="BC254" s="82" t="s">
        <v>4588</v>
      </c>
      <c r="BD254" s="82" t="s">
        <v>5915</v>
      </c>
      <c r="BE254" s="77"/>
      <c r="BF254" s="77"/>
      <c r="BG254" s="77"/>
      <c r="BH254" s="77"/>
      <c r="BI254" s="77"/>
    </row>
    <row r="255" spans="1:61" x14ac:dyDescent="0.25">
      <c r="A255" s="62" t="s">
        <v>309</v>
      </c>
      <c r="B255" s="62" t="s">
        <v>309</v>
      </c>
      <c r="C255" s="63"/>
      <c r="D255" s="64"/>
      <c r="E255" s="65"/>
      <c r="F255" s="66"/>
      <c r="G255" s="63"/>
      <c r="H255" s="67"/>
      <c r="I255" s="68"/>
      <c r="J255" s="68"/>
      <c r="K255" s="32"/>
      <c r="L255" s="75">
        <v>255</v>
      </c>
      <c r="M255" s="75"/>
      <c r="N255" s="70"/>
      <c r="O255" s="77" t="s">
        <v>179</v>
      </c>
      <c r="P255" s="79">
        <v>45003.59065972222</v>
      </c>
      <c r="Q255" s="77" t="s">
        <v>837</v>
      </c>
      <c r="R255" s="77">
        <v>3</v>
      </c>
      <c r="S255" s="77">
        <v>22</v>
      </c>
      <c r="T255" s="77">
        <v>0</v>
      </c>
      <c r="U255" s="77">
        <v>2</v>
      </c>
      <c r="V255" s="77">
        <v>5192</v>
      </c>
      <c r="W255" s="82" t="s">
        <v>1683</v>
      </c>
      <c r="X255" s="77"/>
      <c r="Y255" s="77"/>
      <c r="Z255" s="77"/>
      <c r="AA255" s="77"/>
      <c r="AB255" s="77"/>
      <c r="AC255" s="82" t="s">
        <v>2719</v>
      </c>
      <c r="AD255" s="77" t="s">
        <v>2752</v>
      </c>
      <c r="AE255" s="80" t="str">
        <f>HYPERLINK("https://twitter.com/misescpitalista/status/1637094141912928256")</f>
        <v>https://twitter.com/misescpitalista/status/1637094141912928256</v>
      </c>
      <c r="AF255" s="79">
        <v>45003.59065972222</v>
      </c>
      <c r="AG255" s="85">
        <v>45003</v>
      </c>
      <c r="AH255" s="82" t="s">
        <v>3011</v>
      </c>
      <c r="AI255" s="77"/>
      <c r="AJ255" s="77"/>
      <c r="AK255" s="77"/>
      <c r="AL255" s="77"/>
      <c r="AM255" s="77"/>
      <c r="AN255" s="77"/>
      <c r="AO255" s="77"/>
      <c r="AP255" s="77"/>
      <c r="AQ255" s="77"/>
      <c r="AR255" s="77"/>
      <c r="AS255" s="77"/>
      <c r="AT255" s="77"/>
      <c r="AU255" s="77"/>
      <c r="AV255" s="80" t="str">
        <f>HYPERLINK("https://pbs.twimg.com/profile_images/1519398150926127104/s46q4moV_normal.jpg")</f>
        <v>https://pbs.twimg.com/profile_images/1519398150926127104/s46q4moV_normal.jpg</v>
      </c>
      <c r="AW255" s="82" t="s">
        <v>4589</v>
      </c>
      <c r="AX255" s="82" t="s">
        <v>4589</v>
      </c>
      <c r="AY255" s="77"/>
      <c r="AZ255" s="82" t="s">
        <v>5615</v>
      </c>
      <c r="BA255" s="82" t="s">
        <v>5615</v>
      </c>
      <c r="BB255" s="82" t="s">
        <v>5615</v>
      </c>
      <c r="BC255" s="82" t="s">
        <v>4589</v>
      </c>
      <c r="BD255" s="82" t="s">
        <v>5916</v>
      </c>
      <c r="BE255" s="77"/>
      <c r="BF255" s="77"/>
      <c r="BG255" s="77"/>
      <c r="BH255" s="77"/>
      <c r="BI255" s="77"/>
    </row>
    <row r="256" spans="1:61" x14ac:dyDescent="0.25">
      <c r="A256" s="62" t="s">
        <v>310</v>
      </c>
      <c r="B256" s="62" t="s">
        <v>309</v>
      </c>
      <c r="C256" s="63"/>
      <c r="D256" s="64"/>
      <c r="E256" s="65"/>
      <c r="F256" s="66"/>
      <c r="G256" s="63"/>
      <c r="H256" s="67"/>
      <c r="I256" s="68"/>
      <c r="J256" s="68"/>
      <c r="K256" s="32"/>
      <c r="L256" s="75">
        <v>256</v>
      </c>
      <c r="M256" s="75"/>
      <c r="N256" s="70"/>
      <c r="O256" s="77" t="s">
        <v>585</v>
      </c>
      <c r="P256" s="79">
        <v>45003.981087962966</v>
      </c>
      <c r="Q256" s="77" t="s">
        <v>838</v>
      </c>
      <c r="R256" s="77">
        <v>0</v>
      </c>
      <c r="S256" s="77">
        <v>1</v>
      </c>
      <c r="T256" s="77">
        <v>0</v>
      </c>
      <c r="U256" s="77">
        <v>0</v>
      </c>
      <c r="V256" s="77">
        <v>110</v>
      </c>
      <c r="W256" s="82" t="s">
        <v>1684</v>
      </c>
      <c r="X256" s="77"/>
      <c r="Y256" s="77"/>
      <c r="Z256" s="77"/>
      <c r="AA256" s="77"/>
      <c r="AB256" s="77"/>
      <c r="AC256" s="82" t="s">
        <v>2722</v>
      </c>
      <c r="AD256" s="77" t="s">
        <v>2752</v>
      </c>
      <c r="AE256" s="80" t="str">
        <f>HYPERLINK("https://twitter.com/deborahtelles/status/1637235626104741888")</f>
        <v>https://twitter.com/deborahtelles/status/1637235626104741888</v>
      </c>
      <c r="AF256" s="79">
        <v>45003.981087962966</v>
      </c>
      <c r="AG256" s="85">
        <v>45003</v>
      </c>
      <c r="AH256" s="82" t="s">
        <v>3012</v>
      </c>
      <c r="AI256" s="77"/>
      <c r="AJ256" s="77"/>
      <c r="AK256" s="77"/>
      <c r="AL256" s="77"/>
      <c r="AM256" s="77"/>
      <c r="AN256" s="77"/>
      <c r="AO256" s="77"/>
      <c r="AP256" s="77"/>
      <c r="AQ256" s="77"/>
      <c r="AR256" s="77"/>
      <c r="AS256" s="77"/>
      <c r="AT256" s="77"/>
      <c r="AU256" s="77"/>
      <c r="AV256" s="80" t="str">
        <f>HYPERLINK("https://pbs.twimg.com/profile_images/1613231005661290503/jfcuhY1Y_normal.jpg")</f>
        <v>https://pbs.twimg.com/profile_images/1613231005661290503/jfcuhY1Y_normal.jpg</v>
      </c>
      <c r="AW256" s="82" t="s">
        <v>4590</v>
      </c>
      <c r="AX256" s="82" t="s">
        <v>4590</v>
      </c>
      <c r="AY256" s="77"/>
      <c r="AZ256" s="82" t="s">
        <v>5615</v>
      </c>
      <c r="BA256" s="82" t="s">
        <v>4589</v>
      </c>
      <c r="BB256" s="82" t="s">
        <v>5615</v>
      </c>
      <c r="BC256" s="82" t="s">
        <v>4589</v>
      </c>
      <c r="BD256" s="77">
        <v>39485204</v>
      </c>
      <c r="BE256" s="77"/>
      <c r="BF256" s="77"/>
      <c r="BG256" s="77"/>
      <c r="BH256" s="77"/>
      <c r="BI256" s="77"/>
    </row>
    <row r="257" spans="1:61" x14ac:dyDescent="0.25">
      <c r="A257" s="62" t="s">
        <v>311</v>
      </c>
      <c r="B257" s="62" t="s">
        <v>311</v>
      </c>
      <c r="C257" s="63"/>
      <c r="D257" s="64"/>
      <c r="E257" s="65"/>
      <c r="F257" s="66"/>
      <c r="G257" s="63"/>
      <c r="H257" s="67"/>
      <c r="I257" s="68"/>
      <c r="J257" s="68"/>
      <c r="K257" s="32"/>
      <c r="L257" s="75">
        <v>257</v>
      </c>
      <c r="M257" s="75"/>
      <c r="N257" s="70"/>
      <c r="O257" s="77" t="s">
        <v>179</v>
      </c>
      <c r="P257" s="79">
        <v>45135.854756944442</v>
      </c>
      <c r="Q257" s="77" t="s">
        <v>839</v>
      </c>
      <c r="R257" s="77">
        <v>0</v>
      </c>
      <c r="S257" s="77">
        <v>1</v>
      </c>
      <c r="T257" s="77">
        <v>1</v>
      </c>
      <c r="U257" s="77">
        <v>0</v>
      </c>
      <c r="V257" s="77">
        <v>127</v>
      </c>
      <c r="W257" s="82" t="s">
        <v>1685</v>
      </c>
      <c r="X257" s="80" t="str">
        <f>HYPERLINK("https://paraopovo.com.br/evite-erros-financeiros-e-alcance-a-liberdade")</f>
        <v>https://paraopovo.com.br/evite-erros-financeiros-e-alcance-a-liberdade</v>
      </c>
      <c r="Y257" s="77" t="s">
        <v>2129</v>
      </c>
      <c r="Z257" s="77"/>
      <c r="AA257" s="77"/>
      <c r="AB257" s="77"/>
      <c r="AC257" s="82" t="s">
        <v>2722</v>
      </c>
      <c r="AD257" s="77" t="s">
        <v>2752</v>
      </c>
      <c r="AE257" s="80" t="str">
        <f>HYPERLINK("https://twitter.com/blogparaopovo/status/1685025044404088833")</f>
        <v>https://twitter.com/blogparaopovo/status/1685025044404088833</v>
      </c>
      <c r="AF257" s="79">
        <v>45135.854756944442</v>
      </c>
      <c r="AG257" s="85">
        <v>45135</v>
      </c>
      <c r="AH257" s="82" t="s">
        <v>3013</v>
      </c>
      <c r="AI257" s="77" t="b">
        <v>0</v>
      </c>
      <c r="AJ257" s="77"/>
      <c r="AK257" s="77"/>
      <c r="AL257" s="77"/>
      <c r="AM257" s="77"/>
      <c r="AN257" s="77"/>
      <c r="AO257" s="77"/>
      <c r="AP257" s="77"/>
      <c r="AQ257" s="77"/>
      <c r="AR257" s="77"/>
      <c r="AS257" s="77"/>
      <c r="AT257" s="77"/>
      <c r="AU257" s="77"/>
      <c r="AV257" s="80" t="str">
        <f>HYPERLINK("https://pbs.twimg.com/profile_images/1676635080142323724/YGJbSA-O_normal.jpg")</f>
        <v>https://pbs.twimg.com/profile_images/1676635080142323724/YGJbSA-O_normal.jpg</v>
      </c>
      <c r="AW257" s="82" t="s">
        <v>4591</v>
      </c>
      <c r="AX257" s="82" t="s">
        <v>4591</v>
      </c>
      <c r="AY257" s="77"/>
      <c r="AZ257" s="82" t="s">
        <v>5615</v>
      </c>
      <c r="BA257" s="82" t="s">
        <v>5615</v>
      </c>
      <c r="BB257" s="82" t="s">
        <v>5615</v>
      </c>
      <c r="BC257" s="82" t="s">
        <v>4591</v>
      </c>
      <c r="BD257" s="82" t="s">
        <v>5917</v>
      </c>
      <c r="BE257" s="77"/>
      <c r="BF257" s="77"/>
      <c r="BG257" s="77"/>
      <c r="BH257" s="77"/>
      <c r="BI257" s="77"/>
    </row>
    <row r="258" spans="1:61" x14ac:dyDescent="0.25">
      <c r="A258" s="62" t="s">
        <v>311</v>
      </c>
      <c r="B258" s="62" t="s">
        <v>311</v>
      </c>
      <c r="C258" s="63"/>
      <c r="D258" s="64"/>
      <c r="E258" s="65"/>
      <c r="F258" s="66"/>
      <c r="G258" s="63"/>
      <c r="H258" s="67"/>
      <c r="I258" s="68"/>
      <c r="J258" s="68"/>
      <c r="K258" s="32"/>
      <c r="L258" s="75">
        <v>258</v>
      </c>
      <c r="M258" s="75"/>
      <c r="N258" s="70"/>
      <c r="O258" s="77" t="s">
        <v>179</v>
      </c>
      <c r="P258" s="79">
        <v>45138.527615740742</v>
      </c>
      <c r="Q258" s="77" t="s">
        <v>840</v>
      </c>
      <c r="R258" s="77">
        <v>0</v>
      </c>
      <c r="S258" s="77">
        <v>1</v>
      </c>
      <c r="T258" s="77">
        <v>0</v>
      </c>
      <c r="U258" s="77">
        <v>0</v>
      </c>
      <c r="V258" s="77">
        <v>131</v>
      </c>
      <c r="W258" s="82" t="s">
        <v>1686</v>
      </c>
      <c r="X258" s="80" t="str">
        <f>HYPERLINK("https://paraopovo.com.br/obstaculos-na-jornada-rumo-a-liberdade")</f>
        <v>https://paraopovo.com.br/obstaculos-na-jornada-rumo-a-liberdade</v>
      </c>
      <c r="Y258" s="77" t="s">
        <v>2129</v>
      </c>
      <c r="Z258" s="77"/>
      <c r="AA258" s="77"/>
      <c r="AB258" s="77"/>
      <c r="AC258" s="82" t="s">
        <v>2719</v>
      </c>
      <c r="AD258" s="77" t="s">
        <v>2752</v>
      </c>
      <c r="AE258" s="80" t="str">
        <f>HYPERLINK("https://twitter.com/blogparaopovo/status/1685993653993459717")</f>
        <v>https://twitter.com/blogparaopovo/status/1685993653993459717</v>
      </c>
      <c r="AF258" s="79">
        <v>45138.527615740742</v>
      </c>
      <c r="AG258" s="85">
        <v>45138</v>
      </c>
      <c r="AH258" s="82" t="s">
        <v>3014</v>
      </c>
      <c r="AI258" s="77" t="b">
        <v>0</v>
      </c>
      <c r="AJ258" s="77"/>
      <c r="AK258" s="77"/>
      <c r="AL258" s="77"/>
      <c r="AM258" s="77"/>
      <c r="AN258" s="77"/>
      <c r="AO258" s="77"/>
      <c r="AP258" s="77"/>
      <c r="AQ258" s="77"/>
      <c r="AR258" s="77"/>
      <c r="AS258" s="77"/>
      <c r="AT258" s="77"/>
      <c r="AU258" s="77"/>
      <c r="AV258" s="80" t="str">
        <f>HYPERLINK("https://pbs.twimg.com/profile_images/1676635080142323724/YGJbSA-O_normal.jpg")</f>
        <v>https://pbs.twimg.com/profile_images/1676635080142323724/YGJbSA-O_normal.jpg</v>
      </c>
      <c r="AW258" s="82" t="s">
        <v>4592</v>
      </c>
      <c r="AX258" s="82" t="s">
        <v>4592</v>
      </c>
      <c r="AY258" s="77"/>
      <c r="AZ258" s="82" t="s">
        <v>5615</v>
      </c>
      <c r="BA258" s="82" t="s">
        <v>5615</v>
      </c>
      <c r="BB258" s="82" t="s">
        <v>5615</v>
      </c>
      <c r="BC258" s="82" t="s">
        <v>4592</v>
      </c>
      <c r="BD258" s="82" t="s">
        <v>5917</v>
      </c>
      <c r="BE258" s="77"/>
      <c r="BF258" s="77"/>
      <c r="BG258" s="77"/>
      <c r="BH258" s="77"/>
      <c r="BI258" s="77"/>
    </row>
    <row r="259" spans="1:61" x14ac:dyDescent="0.25">
      <c r="A259" s="62" t="s">
        <v>312</v>
      </c>
      <c r="B259" s="62" t="s">
        <v>312</v>
      </c>
      <c r="C259" s="63"/>
      <c r="D259" s="64"/>
      <c r="E259" s="65"/>
      <c r="F259" s="66"/>
      <c r="G259" s="63"/>
      <c r="H259" s="67"/>
      <c r="I259" s="68"/>
      <c r="J259" s="68"/>
      <c r="K259" s="32"/>
      <c r="L259" s="75">
        <v>259</v>
      </c>
      <c r="M259" s="75"/>
      <c r="N259" s="70"/>
      <c r="O259" s="77" t="s">
        <v>179</v>
      </c>
      <c r="P259" s="79">
        <v>44963.998715277776</v>
      </c>
      <c r="Q259" s="77" t="s">
        <v>841</v>
      </c>
      <c r="R259" s="77">
        <v>0</v>
      </c>
      <c r="S259" s="77">
        <v>4</v>
      </c>
      <c r="T259" s="77">
        <v>0</v>
      </c>
      <c r="U259" s="77">
        <v>0</v>
      </c>
      <c r="V259" s="77">
        <v>41</v>
      </c>
      <c r="W259" s="82" t="s">
        <v>1687</v>
      </c>
      <c r="X259" s="77"/>
      <c r="Y259" s="77"/>
      <c r="Z259" s="77"/>
      <c r="AA259" s="77"/>
      <c r="AB259" s="77"/>
      <c r="AC259" s="82" t="s">
        <v>2722</v>
      </c>
      <c r="AD259" s="77" t="s">
        <v>2752</v>
      </c>
      <c r="AE259" s="80" t="str">
        <f>HYPERLINK("https://twitter.com/cryptonoide_/status/1622746500848664579")</f>
        <v>https://twitter.com/cryptonoide_/status/1622746500848664579</v>
      </c>
      <c r="AF259" s="79">
        <v>44963.998715277776</v>
      </c>
      <c r="AG259" s="85">
        <v>44963</v>
      </c>
      <c r="AH259" s="82" t="s">
        <v>3015</v>
      </c>
      <c r="AI259" s="77"/>
      <c r="AJ259" s="77"/>
      <c r="AK259" s="77"/>
      <c r="AL259" s="77"/>
      <c r="AM259" s="77"/>
      <c r="AN259" s="77"/>
      <c r="AO259" s="77"/>
      <c r="AP259" s="77"/>
      <c r="AQ259" s="77"/>
      <c r="AR259" s="77"/>
      <c r="AS259" s="77"/>
      <c r="AT259" s="77"/>
      <c r="AU259" s="77"/>
      <c r="AV259" s="80" t="str">
        <f>HYPERLINK("https://pbs.twimg.com/profile_images/1622089287951962113/nGAaXMeA_normal.png")</f>
        <v>https://pbs.twimg.com/profile_images/1622089287951962113/nGAaXMeA_normal.png</v>
      </c>
      <c r="AW259" s="82" t="s">
        <v>4593</v>
      </c>
      <c r="AX259" s="82" t="s">
        <v>4593</v>
      </c>
      <c r="AY259" s="77"/>
      <c r="AZ259" s="82" t="s">
        <v>5615</v>
      </c>
      <c r="BA259" s="82" t="s">
        <v>5615</v>
      </c>
      <c r="BB259" s="82" t="s">
        <v>5615</v>
      </c>
      <c r="BC259" s="82" t="s">
        <v>4593</v>
      </c>
      <c r="BD259" s="82" t="s">
        <v>5918</v>
      </c>
      <c r="BE259" s="77"/>
      <c r="BF259" s="77"/>
      <c r="BG259" s="77"/>
      <c r="BH259" s="77"/>
      <c r="BI259" s="77"/>
    </row>
    <row r="260" spans="1:61" x14ac:dyDescent="0.25">
      <c r="A260" s="62" t="s">
        <v>313</v>
      </c>
      <c r="B260" s="62" t="s">
        <v>313</v>
      </c>
      <c r="C260" s="63"/>
      <c r="D260" s="64"/>
      <c r="E260" s="65"/>
      <c r="F260" s="66"/>
      <c r="G260" s="63"/>
      <c r="H260" s="67"/>
      <c r="I260" s="68"/>
      <c r="J260" s="68"/>
      <c r="K260" s="32"/>
      <c r="L260" s="75">
        <v>260</v>
      </c>
      <c r="M260" s="75"/>
      <c r="N260" s="70"/>
      <c r="O260" s="77" t="s">
        <v>179</v>
      </c>
      <c r="P260" s="79">
        <v>44938.245196759257</v>
      </c>
      <c r="Q260" s="77" t="s">
        <v>842</v>
      </c>
      <c r="R260" s="77">
        <v>0</v>
      </c>
      <c r="S260" s="77">
        <v>0</v>
      </c>
      <c r="T260" s="77">
        <v>0</v>
      </c>
      <c r="U260" s="77">
        <v>0</v>
      </c>
      <c r="V260" s="77">
        <v>8</v>
      </c>
      <c r="W260" s="82" t="s">
        <v>1688</v>
      </c>
      <c r="X260" s="77"/>
      <c r="Y260" s="77"/>
      <c r="Z260" s="77"/>
      <c r="AA260" s="77" t="s">
        <v>2393</v>
      </c>
      <c r="AB260" s="77" t="s">
        <v>2714</v>
      </c>
      <c r="AC260" s="82" t="s">
        <v>2722</v>
      </c>
      <c r="AD260" s="77" t="s">
        <v>2760</v>
      </c>
      <c r="AE260" s="80" t="str">
        <f>HYPERLINK("https://twitter.com/digitalfinace/status/1613413739478540288")</f>
        <v>https://twitter.com/digitalfinace/status/1613413739478540288</v>
      </c>
      <c r="AF260" s="79">
        <v>44938.245196759257</v>
      </c>
      <c r="AG260" s="85">
        <v>44938</v>
      </c>
      <c r="AH260" s="82" t="s">
        <v>3016</v>
      </c>
      <c r="AI260" s="77" t="b">
        <v>0</v>
      </c>
      <c r="AJ260" s="77"/>
      <c r="AK260" s="77"/>
      <c r="AL260" s="77"/>
      <c r="AM260" s="77"/>
      <c r="AN260" s="77"/>
      <c r="AO260" s="77"/>
      <c r="AP260" s="77"/>
      <c r="AQ260" s="77" t="s">
        <v>4019</v>
      </c>
      <c r="AR260" s="77"/>
      <c r="AS260" s="77"/>
      <c r="AT260" s="77"/>
      <c r="AU260" s="77"/>
      <c r="AV260" s="80" t="str">
        <f>HYPERLINK("https://pbs.twimg.com/media/FmP_B3baYAEkad4.jpg")</f>
        <v>https://pbs.twimg.com/media/FmP_B3baYAEkad4.jpg</v>
      </c>
      <c r="AW260" s="82" t="s">
        <v>4594</v>
      </c>
      <c r="AX260" s="82" t="s">
        <v>4594</v>
      </c>
      <c r="AY260" s="77"/>
      <c r="AZ260" s="82" t="s">
        <v>5615</v>
      </c>
      <c r="BA260" s="82" t="s">
        <v>5615</v>
      </c>
      <c r="BB260" s="82" t="s">
        <v>5615</v>
      </c>
      <c r="BC260" s="82" t="s">
        <v>4594</v>
      </c>
      <c r="BD260" s="82" t="s">
        <v>5919</v>
      </c>
      <c r="BE260" s="77"/>
      <c r="BF260" s="77"/>
      <c r="BG260" s="77"/>
      <c r="BH260" s="77"/>
      <c r="BI260" s="77"/>
    </row>
    <row r="261" spans="1:61" x14ac:dyDescent="0.25">
      <c r="A261" s="62" t="s">
        <v>314</v>
      </c>
      <c r="B261" s="62" t="s">
        <v>314</v>
      </c>
      <c r="C261" s="63"/>
      <c r="D261" s="64"/>
      <c r="E261" s="65"/>
      <c r="F261" s="66"/>
      <c r="G261" s="63"/>
      <c r="H261" s="67"/>
      <c r="I261" s="68"/>
      <c r="J261" s="68"/>
      <c r="K261" s="32"/>
      <c r="L261" s="75">
        <v>261</v>
      </c>
      <c r="M261" s="75"/>
      <c r="N261" s="70"/>
      <c r="O261" s="77" t="s">
        <v>179</v>
      </c>
      <c r="P261" s="79">
        <v>45000.521458333336</v>
      </c>
      <c r="Q261" s="77" t="s">
        <v>843</v>
      </c>
      <c r="R261" s="77">
        <v>0</v>
      </c>
      <c r="S261" s="77">
        <v>2</v>
      </c>
      <c r="T261" s="77">
        <v>0</v>
      </c>
      <c r="U261" s="77">
        <v>0</v>
      </c>
      <c r="V261" s="77">
        <v>18</v>
      </c>
      <c r="W261" s="82" t="s">
        <v>1689</v>
      </c>
      <c r="X261" s="80" t="str">
        <f>HYPERLINK("https://www.techash.xyz/2023/03/how-ai-will-change-future-of-financial.html")</f>
        <v>https://www.techash.xyz/2023/03/how-ai-will-change-future-of-financial.html</v>
      </c>
      <c r="Y261" s="77" t="s">
        <v>2144</v>
      </c>
      <c r="Z261" s="77"/>
      <c r="AA261" s="77"/>
      <c r="AB261" s="77"/>
      <c r="AC261" s="82" t="s">
        <v>2722</v>
      </c>
      <c r="AD261" s="77" t="s">
        <v>2754</v>
      </c>
      <c r="AE261" s="80" t="str">
        <f>HYPERLINK("https://twitter.com/newtechnotopics/status/1635981900341825540")</f>
        <v>https://twitter.com/newtechnotopics/status/1635981900341825540</v>
      </c>
      <c r="AF261" s="79">
        <v>45000.521458333336</v>
      </c>
      <c r="AG261" s="85">
        <v>45000</v>
      </c>
      <c r="AH261" s="82" t="s">
        <v>3017</v>
      </c>
      <c r="AI261" s="77" t="b">
        <v>0</v>
      </c>
      <c r="AJ261" s="77"/>
      <c r="AK261" s="77"/>
      <c r="AL261" s="77"/>
      <c r="AM261" s="77"/>
      <c r="AN261" s="77"/>
      <c r="AO261" s="77"/>
      <c r="AP261" s="77"/>
      <c r="AQ261" s="77"/>
      <c r="AR261" s="77"/>
      <c r="AS261" s="77"/>
      <c r="AT261" s="77"/>
      <c r="AU261" s="77"/>
      <c r="AV261" s="80" t="str">
        <f>HYPERLINK("https://pbs.twimg.com/profile_images/1629964591273766914/14RWSNaZ_normal.jpg")</f>
        <v>https://pbs.twimg.com/profile_images/1629964591273766914/14RWSNaZ_normal.jpg</v>
      </c>
      <c r="AW261" s="82" t="s">
        <v>4595</v>
      </c>
      <c r="AX261" s="82" t="s">
        <v>4595</v>
      </c>
      <c r="AY261" s="77"/>
      <c r="AZ261" s="82" t="s">
        <v>5615</v>
      </c>
      <c r="BA261" s="82" t="s">
        <v>5615</v>
      </c>
      <c r="BB261" s="82" t="s">
        <v>5615</v>
      </c>
      <c r="BC261" s="82" t="s">
        <v>4595</v>
      </c>
      <c r="BD261" s="82" t="s">
        <v>5920</v>
      </c>
      <c r="BE261" s="77"/>
      <c r="BF261" s="77"/>
      <c r="BG261" s="77"/>
      <c r="BH261" s="77"/>
      <c r="BI261" s="77"/>
    </row>
    <row r="262" spans="1:61" x14ac:dyDescent="0.25">
      <c r="A262" s="62" t="s">
        <v>315</v>
      </c>
      <c r="B262" s="62" t="s">
        <v>315</v>
      </c>
      <c r="C262" s="63"/>
      <c r="D262" s="64"/>
      <c r="E262" s="65"/>
      <c r="F262" s="66"/>
      <c r="G262" s="63"/>
      <c r="H262" s="67"/>
      <c r="I262" s="68"/>
      <c r="J262" s="68"/>
      <c r="K262" s="32"/>
      <c r="L262" s="75">
        <v>262</v>
      </c>
      <c r="M262" s="75"/>
      <c r="N262" s="70"/>
      <c r="O262" s="77" t="s">
        <v>179</v>
      </c>
      <c r="P262" s="79">
        <v>45020.687685185185</v>
      </c>
      <c r="Q262" s="77" t="s">
        <v>844</v>
      </c>
      <c r="R262" s="77">
        <v>0</v>
      </c>
      <c r="S262" s="77">
        <v>1</v>
      </c>
      <c r="T262" s="77">
        <v>0</v>
      </c>
      <c r="U262" s="77">
        <v>0</v>
      </c>
      <c r="V262" s="77">
        <v>137</v>
      </c>
      <c r="W262" s="82" t="s">
        <v>1690</v>
      </c>
      <c r="X262" s="77"/>
      <c r="Y262" s="77"/>
      <c r="Z262" s="77"/>
      <c r="AA262" s="77" t="s">
        <v>2394</v>
      </c>
      <c r="AB262" s="77" t="s">
        <v>2713</v>
      </c>
      <c r="AC262" s="82" t="s">
        <v>2720</v>
      </c>
      <c r="AD262" s="77" t="s">
        <v>2752</v>
      </c>
      <c r="AE262" s="80" t="str">
        <f>HYPERLINK("https://twitter.com/leandro9marques/status/1643289893525766145")</f>
        <v>https://twitter.com/leandro9marques/status/1643289893525766145</v>
      </c>
      <c r="AF262" s="79">
        <v>45020.687685185185</v>
      </c>
      <c r="AG262" s="85">
        <v>45020</v>
      </c>
      <c r="AH262" s="82" t="s">
        <v>3018</v>
      </c>
      <c r="AI262" s="77" t="b">
        <v>0</v>
      </c>
      <c r="AJ262" s="77"/>
      <c r="AK262" s="77"/>
      <c r="AL262" s="77"/>
      <c r="AM262" s="77"/>
      <c r="AN262" s="77"/>
      <c r="AO262" s="77"/>
      <c r="AP262" s="77"/>
      <c r="AQ262" s="77" t="s">
        <v>4020</v>
      </c>
      <c r="AR262" s="77">
        <v>72745</v>
      </c>
      <c r="AS262" s="77"/>
      <c r="AT262" s="77"/>
      <c r="AU262" s="77"/>
      <c r="AV262" s="80" t="str">
        <f>HYPERLINK("https://pbs.twimg.com/ext_tw_video_thumb/1643289750965481473/pu/img/MV7-gHGZqsnvIG9r.jpg")</f>
        <v>https://pbs.twimg.com/ext_tw_video_thumb/1643289750965481473/pu/img/MV7-gHGZqsnvIG9r.jpg</v>
      </c>
      <c r="AW262" s="82" t="s">
        <v>4596</v>
      </c>
      <c r="AX262" s="82" t="s">
        <v>4596</v>
      </c>
      <c r="AY262" s="77"/>
      <c r="AZ262" s="82" t="s">
        <v>5615</v>
      </c>
      <c r="BA262" s="82" t="s">
        <v>5615</v>
      </c>
      <c r="BB262" s="82" t="s">
        <v>5615</v>
      </c>
      <c r="BC262" s="82" t="s">
        <v>4596</v>
      </c>
      <c r="BD262" s="82" t="s">
        <v>5921</v>
      </c>
      <c r="BE262" s="77"/>
      <c r="BF262" s="77"/>
      <c r="BG262" s="77"/>
      <c r="BH262" s="77"/>
      <c r="BI262" s="77"/>
    </row>
    <row r="263" spans="1:61" x14ac:dyDescent="0.25">
      <c r="A263" s="62" t="s">
        <v>316</v>
      </c>
      <c r="B263" s="62" t="s">
        <v>316</v>
      </c>
      <c r="C263" s="63"/>
      <c r="D263" s="64"/>
      <c r="E263" s="65"/>
      <c r="F263" s="66"/>
      <c r="G263" s="63"/>
      <c r="H263" s="67"/>
      <c r="I263" s="68"/>
      <c r="J263" s="68"/>
      <c r="K263" s="32"/>
      <c r="L263" s="75">
        <v>263</v>
      </c>
      <c r="M263" s="75"/>
      <c r="N263" s="70"/>
      <c r="O263" s="77" t="s">
        <v>179</v>
      </c>
      <c r="P263" s="79">
        <v>45155.826874999999</v>
      </c>
      <c r="Q263" s="77" t="s">
        <v>845</v>
      </c>
      <c r="R263" s="77">
        <v>0</v>
      </c>
      <c r="S263" s="77">
        <v>0</v>
      </c>
      <c r="T263" s="77">
        <v>0</v>
      </c>
      <c r="U263" s="77">
        <v>0</v>
      </c>
      <c r="V263" s="77">
        <v>6</v>
      </c>
      <c r="W263" s="82" t="s">
        <v>1691</v>
      </c>
      <c r="X263" s="80" t="str">
        <f>HYPERLINK("https://kiwify.app/UdtaffM?afid=5t1Dlejv")</f>
        <v>https://kiwify.app/UdtaffM?afid=5t1Dlejv</v>
      </c>
      <c r="Y263" s="77" t="s">
        <v>2145</v>
      </c>
      <c r="Z263" s="77"/>
      <c r="AA263" s="77" t="s">
        <v>2395</v>
      </c>
      <c r="AB263" s="77" t="s">
        <v>2713</v>
      </c>
      <c r="AC263" s="82" t="s">
        <v>2722</v>
      </c>
      <c r="AD263" s="77" t="s">
        <v>2753</v>
      </c>
      <c r="AE263" s="80" t="str">
        <f>HYPERLINK("https://twitter.com/beatrizvahl/status/1692262699227402402")</f>
        <v>https://twitter.com/beatrizvahl/status/1692262699227402402</v>
      </c>
      <c r="AF263" s="79">
        <v>45155.826874999999</v>
      </c>
      <c r="AG263" s="85">
        <v>45155</v>
      </c>
      <c r="AH263" s="82" t="s">
        <v>3019</v>
      </c>
      <c r="AI263" s="77" t="b">
        <v>0</v>
      </c>
      <c r="AJ263" s="77"/>
      <c r="AK263" s="77"/>
      <c r="AL263" s="77"/>
      <c r="AM263" s="77"/>
      <c r="AN263" s="77"/>
      <c r="AO263" s="77"/>
      <c r="AP263" s="77"/>
      <c r="AQ263" s="77" t="s">
        <v>4021</v>
      </c>
      <c r="AR263" s="77">
        <v>21403</v>
      </c>
      <c r="AS263" s="77"/>
      <c r="AT263" s="77"/>
      <c r="AU263" s="77"/>
      <c r="AV263" s="80" t="str">
        <f>HYPERLINK("https://pbs.twimg.com/ext_tw_video_thumb/1692262308645400577/pu/img/05qg9SKyeECT4P-A.jpg")</f>
        <v>https://pbs.twimg.com/ext_tw_video_thumb/1692262308645400577/pu/img/05qg9SKyeECT4P-A.jpg</v>
      </c>
      <c r="AW263" s="82" t="s">
        <v>4597</v>
      </c>
      <c r="AX263" s="82" t="s">
        <v>4597</v>
      </c>
      <c r="AY263" s="77"/>
      <c r="AZ263" s="82" t="s">
        <v>5615</v>
      </c>
      <c r="BA263" s="82" t="s">
        <v>5615</v>
      </c>
      <c r="BB263" s="82" t="s">
        <v>5615</v>
      </c>
      <c r="BC263" s="82" t="s">
        <v>4597</v>
      </c>
      <c r="BD263" s="82" t="s">
        <v>5922</v>
      </c>
      <c r="BE263" s="77"/>
      <c r="BF263" s="77"/>
      <c r="BG263" s="77"/>
      <c r="BH263" s="77"/>
      <c r="BI263" s="77"/>
    </row>
    <row r="264" spans="1:61" x14ac:dyDescent="0.25">
      <c r="A264" s="62" t="s">
        <v>317</v>
      </c>
      <c r="B264" s="62" t="s">
        <v>317</v>
      </c>
      <c r="C264" s="63"/>
      <c r="D264" s="64"/>
      <c r="E264" s="65"/>
      <c r="F264" s="66"/>
      <c r="G264" s="63"/>
      <c r="H264" s="67"/>
      <c r="I264" s="68"/>
      <c r="J264" s="68"/>
      <c r="K264" s="32"/>
      <c r="L264" s="75">
        <v>264</v>
      </c>
      <c r="M264" s="75"/>
      <c r="N264" s="70"/>
      <c r="O264" s="77" t="s">
        <v>179</v>
      </c>
      <c r="P264" s="79">
        <v>45116.651828703703</v>
      </c>
      <c r="Q264" s="77" t="s">
        <v>846</v>
      </c>
      <c r="R264" s="77">
        <v>0</v>
      </c>
      <c r="S264" s="77">
        <v>1</v>
      </c>
      <c r="T264" s="77">
        <v>0</v>
      </c>
      <c r="U264" s="77">
        <v>0</v>
      </c>
      <c r="V264" s="77">
        <v>34</v>
      </c>
      <c r="W264" s="82" t="s">
        <v>1692</v>
      </c>
      <c r="X264" s="77"/>
      <c r="Y264" s="77"/>
      <c r="Z264" s="77"/>
      <c r="AA264" s="77" t="s">
        <v>2396</v>
      </c>
      <c r="AB264" s="77" t="s">
        <v>2714</v>
      </c>
      <c r="AC264" s="82" t="s">
        <v>2719</v>
      </c>
      <c r="AD264" s="77" t="s">
        <v>2752</v>
      </c>
      <c r="AE264" s="80" t="str">
        <f>HYPERLINK("https://twitter.com/danillobiete/status/1678066135541981184")</f>
        <v>https://twitter.com/danillobiete/status/1678066135541981184</v>
      </c>
      <c r="AF264" s="79">
        <v>45116.651828703703</v>
      </c>
      <c r="AG264" s="85">
        <v>45116</v>
      </c>
      <c r="AH264" s="82" t="s">
        <v>3020</v>
      </c>
      <c r="AI264" s="77" t="b">
        <v>0</v>
      </c>
      <c r="AJ264" s="77"/>
      <c r="AK264" s="77"/>
      <c r="AL264" s="77"/>
      <c r="AM264" s="77"/>
      <c r="AN264" s="77"/>
      <c r="AO264" s="77"/>
      <c r="AP264" s="77"/>
      <c r="AQ264" s="77" t="s">
        <v>4022</v>
      </c>
      <c r="AR264" s="77"/>
      <c r="AS264" s="77"/>
      <c r="AT264" s="77"/>
      <c r="AU264" s="77"/>
      <c r="AV264" s="80" t="str">
        <f>HYPERLINK("https://pbs.twimg.com/media/F0mwQdpXsAE9tsR.jpg")</f>
        <v>https://pbs.twimg.com/media/F0mwQdpXsAE9tsR.jpg</v>
      </c>
      <c r="AW264" s="82" t="s">
        <v>4598</v>
      </c>
      <c r="AX264" s="82" t="s">
        <v>4598</v>
      </c>
      <c r="AY264" s="77"/>
      <c r="AZ264" s="82" t="s">
        <v>5615</v>
      </c>
      <c r="BA264" s="82" t="s">
        <v>5615</v>
      </c>
      <c r="BB264" s="82" t="s">
        <v>5615</v>
      </c>
      <c r="BC264" s="82" t="s">
        <v>4598</v>
      </c>
      <c r="BD264" s="82" t="s">
        <v>5923</v>
      </c>
      <c r="BE264" s="77"/>
      <c r="BF264" s="77"/>
      <c r="BG264" s="77"/>
      <c r="BH264" s="77"/>
      <c r="BI264" s="77"/>
    </row>
    <row r="265" spans="1:61" x14ac:dyDescent="0.25">
      <c r="A265" s="62" t="s">
        <v>318</v>
      </c>
      <c r="B265" s="62" t="s">
        <v>318</v>
      </c>
      <c r="C265" s="63"/>
      <c r="D265" s="64"/>
      <c r="E265" s="65"/>
      <c r="F265" s="66"/>
      <c r="G265" s="63"/>
      <c r="H265" s="67"/>
      <c r="I265" s="68"/>
      <c r="J265" s="68"/>
      <c r="K265" s="32"/>
      <c r="L265" s="75">
        <v>265</v>
      </c>
      <c r="M265" s="75"/>
      <c r="N265" s="70"/>
      <c r="O265" s="77" t="s">
        <v>179</v>
      </c>
      <c r="P265" s="79">
        <v>45017.402951388889</v>
      </c>
      <c r="Q265" s="77" t="s">
        <v>847</v>
      </c>
      <c r="R265" s="77">
        <v>0</v>
      </c>
      <c r="S265" s="77">
        <v>0</v>
      </c>
      <c r="T265" s="77">
        <v>0</v>
      </c>
      <c r="U265" s="77">
        <v>0</v>
      </c>
      <c r="V265" s="77">
        <v>12</v>
      </c>
      <c r="W265" s="82" t="s">
        <v>1693</v>
      </c>
      <c r="X265" s="77"/>
      <c r="Y265" s="77"/>
      <c r="Z265" s="77"/>
      <c r="AA265" s="77" t="s">
        <v>2397</v>
      </c>
      <c r="AB265" s="77" t="s">
        <v>2717</v>
      </c>
      <c r="AC265" s="82" t="s">
        <v>2722</v>
      </c>
      <c r="AD265" s="77" t="s">
        <v>2754</v>
      </c>
      <c r="AE265" s="80" t="str">
        <f>HYPERLINK("https://twitter.com/milan_prosper/status/1642099547005394946")</f>
        <v>https://twitter.com/milan_prosper/status/1642099547005394946</v>
      </c>
      <c r="AF265" s="79">
        <v>45017.402951388889</v>
      </c>
      <c r="AG265" s="85">
        <v>45017</v>
      </c>
      <c r="AH265" s="82" t="s">
        <v>3021</v>
      </c>
      <c r="AI265" s="77" t="b">
        <v>0</v>
      </c>
      <c r="AJ265" s="77"/>
      <c r="AK265" s="77"/>
      <c r="AL265" s="77"/>
      <c r="AM265" s="77"/>
      <c r="AN265" s="77"/>
      <c r="AO265" s="77"/>
      <c r="AP265" s="77"/>
      <c r="AQ265" s="77" t="s">
        <v>4023</v>
      </c>
      <c r="AR265" s="77"/>
      <c r="AS265" s="77"/>
      <c r="AT265" s="77"/>
      <c r="AU265" s="77"/>
      <c r="AV265" s="80" t="str">
        <f>HYPERLINK("https://pbs.twimg.com/tweet_video_thumb/FsnomMSXgAAGUWi.jpg")</f>
        <v>https://pbs.twimg.com/tweet_video_thumb/FsnomMSXgAAGUWi.jpg</v>
      </c>
      <c r="AW265" s="82" t="s">
        <v>4599</v>
      </c>
      <c r="AX265" s="82" t="s">
        <v>4599</v>
      </c>
      <c r="AY265" s="77"/>
      <c r="AZ265" s="82" t="s">
        <v>5615</v>
      </c>
      <c r="BA265" s="82" t="s">
        <v>5615</v>
      </c>
      <c r="BB265" s="82" t="s">
        <v>5615</v>
      </c>
      <c r="BC265" s="82" t="s">
        <v>4599</v>
      </c>
      <c r="BD265" s="82" t="s">
        <v>5924</v>
      </c>
      <c r="BE265" s="77"/>
      <c r="BF265" s="77"/>
      <c r="BG265" s="77"/>
      <c r="BH265" s="77"/>
      <c r="BI265" s="77"/>
    </row>
    <row r="266" spans="1:61" x14ac:dyDescent="0.25">
      <c r="A266" s="62" t="s">
        <v>319</v>
      </c>
      <c r="B266" s="62" t="s">
        <v>319</v>
      </c>
      <c r="C266" s="63"/>
      <c r="D266" s="64"/>
      <c r="E266" s="65"/>
      <c r="F266" s="66"/>
      <c r="G266" s="63"/>
      <c r="H266" s="67"/>
      <c r="I266" s="68"/>
      <c r="J266" s="68"/>
      <c r="K266" s="32"/>
      <c r="L266" s="75">
        <v>266</v>
      </c>
      <c r="M266" s="75"/>
      <c r="N266" s="70"/>
      <c r="O266" s="77" t="s">
        <v>179</v>
      </c>
      <c r="P266" s="79">
        <v>45090.509386574071</v>
      </c>
      <c r="Q266" s="77" t="s">
        <v>848</v>
      </c>
      <c r="R266" s="77">
        <v>0</v>
      </c>
      <c r="S266" s="77">
        <v>0</v>
      </c>
      <c r="T266" s="77">
        <v>0</v>
      </c>
      <c r="U266" s="77">
        <v>0</v>
      </c>
      <c r="V266" s="77">
        <v>9</v>
      </c>
      <c r="W266" s="82" t="s">
        <v>1694</v>
      </c>
      <c r="X266" s="80" t="str">
        <f>HYPERLINK("http://seligafinancas.institutosicoob.org")</f>
        <v>http://seligafinancas.institutosicoob.org</v>
      </c>
      <c r="Y266" s="77" t="s">
        <v>2146</v>
      </c>
      <c r="Z266" s="77"/>
      <c r="AA266" s="77" t="s">
        <v>2398</v>
      </c>
      <c r="AB266" s="77" t="s">
        <v>2714</v>
      </c>
      <c r="AC266" s="82" t="s">
        <v>2721</v>
      </c>
      <c r="AD266" s="77" t="s">
        <v>2752</v>
      </c>
      <c r="AE266" s="80" t="str">
        <f>HYPERLINK("https://twitter.com/sicoobcrediara/status/1668592434429804545")</f>
        <v>https://twitter.com/sicoobcrediara/status/1668592434429804545</v>
      </c>
      <c r="AF266" s="79">
        <v>45090.509386574071</v>
      </c>
      <c r="AG266" s="85">
        <v>45090</v>
      </c>
      <c r="AH266" s="82" t="s">
        <v>3022</v>
      </c>
      <c r="AI266" s="77" t="b">
        <v>0</v>
      </c>
      <c r="AJ266" s="77"/>
      <c r="AK266" s="77"/>
      <c r="AL266" s="77"/>
      <c r="AM266" s="77"/>
      <c r="AN266" s="77"/>
      <c r="AO266" s="77"/>
      <c r="AP266" s="77"/>
      <c r="AQ266" s="77" t="s">
        <v>4024</v>
      </c>
      <c r="AR266" s="77"/>
      <c r="AS266" s="77"/>
      <c r="AT266" s="77"/>
      <c r="AU266" s="77"/>
      <c r="AV266" s="80" t="str">
        <f>HYPERLINK("https://pbs.twimg.com/media/FygH-eJWcAAZ2bk.jpg")</f>
        <v>https://pbs.twimg.com/media/FygH-eJWcAAZ2bk.jpg</v>
      </c>
      <c r="AW266" s="82" t="s">
        <v>4600</v>
      </c>
      <c r="AX266" s="82" t="s">
        <v>4600</v>
      </c>
      <c r="AY266" s="77"/>
      <c r="AZ266" s="82" t="s">
        <v>5615</v>
      </c>
      <c r="BA266" s="82" t="s">
        <v>5615</v>
      </c>
      <c r="BB266" s="82" t="s">
        <v>5615</v>
      </c>
      <c r="BC266" s="82" t="s">
        <v>4600</v>
      </c>
      <c r="BD266" s="82" t="s">
        <v>5925</v>
      </c>
      <c r="BE266" s="77"/>
      <c r="BF266" s="77"/>
      <c r="BG266" s="77"/>
      <c r="BH266" s="77"/>
      <c r="BI266" s="77"/>
    </row>
    <row r="267" spans="1:61" x14ac:dyDescent="0.25">
      <c r="A267" s="62" t="s">
        <v>320</v>
      </c>
      <c r="B267" s="62" t="s">
        <v>320</v>
      </c>
      <c r="C267" s="63"/>
      <c r="D267" s="64"/>
      <c r="E267" s="65"/>
      <c r="F267" s="66"/>
      <c r="G267" s="63"/>
      <c r="H267" s="67"/>
      <c r="I267" s="68"/>
      <c r="J267" s="68"/>
      <c r="K267" s="32"/>
      <c r="L267" s="75">
        <v>267</v>
      </c>
      <c r="M267" s="75"/>
      <c r="N267" s="70"/>
      <c r="O267" s="77" t="s">
        <v>179</v>
      </c>
      <c r="P267" s="79">
        <v>44977.454664351855</v>
      </c>
      <c r="Q267" s="77" t="s">
        <v>849</v>
      </c>
      <c r="R267" s="77">
        <v>0</v>
      </c>
      <c r="S267" s="77">
        <v>0</v>
      </c>
      <c r="T267" s="77">
        <v>0</v>
      </c>
      <c r="U267" s="77">
        <v>0</v>
      </c>
      <c r="V267" s="77">
        <v>28</v>
      </c>
      <c r="W267" s="82" t="s">
        <v>1695</v>
      </c>
      <c r="X267" s="80" t="str">
        <f>HYPERLINK("https://www.intuejoias.com.br/blog")</f>
        <v>https://www.intuejoias.com.br/blog</v>
      </c>
      <c r="Y267" s="77" t="s">
        <v>2129</v>
      </c>
      <c r="Z267" s="77"/>
      <c r="AA267" s="77" t="s">
        <v>2399</v>
      </c>
      <c r="AB267" s="77" t="s">
        <v>2714</v>
      </c>
      <c r="AC267" s="82" t="s">
        <v>2720</v>
      </c>
      <c r="AD267" s="77" t="s">
        <v>2752</v>
      </c>
      <c r="AE267" s="80" t="str">
        <f>HYPERLINK("https://twitter.com/joseanesoll/status/1627622774733676544")</f>
        <v>https://twitter.com/joseanesoll/status/1627622774733676544</v>
      </c>
      <c r="AF267" s="79">
        <v>44977.454664351855</v>
      </c>
      <c r="AG267" s="85">
        <v>44977</v>
      </c>
      <c r="AH267" s="82" t="s">
        <v>3023</v>
      </c>
      <c r="AI267" s="77" t="b">
        <v>0</v>
      </c>
      <c r="AJ267" s="77"/>
      <c r="AK267" s="77"/>
      <c r="AL267" s="77"/>
      <c r="AM267" s="77"/>
      <c r="AN267" s="77"/>
      <c r="AO267" s="77"/>
      <c r="AP267" s="77"/>
      <c r="AQ267" s="77" t="s">
        <v>4025</v>
      </c>
      <c r="AR267" s="77"/>
      <c r="AS267" s="77"/>
      <c r="AT267" s="77"/>
      <c r="AU267" s="77"/>
      <c r="AV267" s="80" t="str">
        <f>HYPERLINK("https://pbs.twimg.com/media/FpZ6SMhXgAIYOFp.jpg")</f>
        <v>https://pbs.twimg.com/media/FpZ6SMhXgAIYOFp.jpg</v>
      </c>
      <c r="AW267" s="82" t="s">
        <v>4601</v>
      </c>
      <c r="AX267" s="82" t="s">
        <v>4601</v>
      </c>
      <c r="AY267" s="77"/>
      <c r="AZ267" s="82" t="s">
        <v>5615</v>
      </c>
      <c r="BA267" s="82" t="s">
        <v>5615</v>
      </c>
      <c r="BB267" s="82" t="s">
        <v>5615</v>
      </c>
      <c r="BC267" s="82" t="s">
        <v>4601</v>
      </c>
      <c r="BD267" s="82" t="s">
        <v>5926</v>
      </c>
      <c r="BE267" s="77"/>
      <c r="BF267" s="77"/>
      <c r="BG267" s="77"/>
      <c r="BH267" s="77"/>
      <c r="BI267" s="77"/>
    </row>
    <row r="268" spans="1:61" x14ac:dyDescent="0.25">
      <c r="A268" s="62" t="s">
        <v>320</v>
      </c>
      <c r="B268" s="62" t="s">
        <v>320</v>
      </c>
      <c r="C268" s="63"/>
      <c r="D268" s="64"/>
      <c r="E268" s="65"/>
      <c r="F268" s="66"/>
      <c r="G268" s="63"/>
      <c r="H268" s="67"/>
      <c r="I268" s="68"/>
      <c r="J268" s="68"/>
      <c r="K268" s="32"/>
      <c r="L268" s="75">
        <v>268</v>
      </c>
      <c r="M268" s="75"/>
      <c r="N268" s="70"/>
      <c r="O268" s="77" t="s">
        <v>179</v>
      </c>
      <c r="P268" s="79">
        <v>44970.464074074072</v>
      </c>
      <c r="Q268" s="77" t="s">
        <v>850</v>
      </c>
      <c r="R268" s="77">
        <v>0</v>
      </c>
      <c r="S268" s="77">
        <v>0</v>
      </c>
      <c r="T268" s="77">
        <v>0</v>
      </c>
      <c r="U268" s="77">
        <v>0</v>
      </c>
      <c r="V268" s="77">
        <v>25</v>
      </c>
      <c r="W268" s="82" t="s">
        <v>1696</v>
      </c>
      <c r="X268" s="80" t="str">
        <f>HYPERLINK("http://intuejoias.com.br/blog")</f>
        <v>http://intuejoias.com.br/blog</v>
      </c>
      <c r="Y268" s="77" t="s">
        <v>2129</v>
      </c>
      <c r="Z268" s="77"/>
      <c r="AA268" s="77" t="s">
        <v>2400</v>
      </c>
      <c r="AB268" s="77" t="s">
        <v>2714</v>
      </c>
      <c r="AC268" s="82" t="s">
        <v>2720</v>
      </c>
      <c r="AD268" s="77" t="s">
        <v>2752</v>
      </c>
      <c r="AE268" s="80" t="str">
        <f>HYPERLINK("https://twitter.com/joseanesoll/status/1625089466049171457")</f>
        <v>https://twitter.com/joseanesoll/status/1625089466049171457</v>
      </c>
      <c r="AF268" s="79">
        <v>44970.464074074072</v>
      </c>
      <c r="AG268" s="85">
        <v>44970</v>
      </c>
      <c r="AH268" s="82" t="s">
        <v>3024</v>
      </c>
      <c r="AI268" s="77" t="b">
        <v>0</v>
      </c>
      <c r="AJ268" s="77"/>
      <c r="AK268" s="77"/>
      <c r="AL268" s="77"/>
      <c r="AM268" s="77"/>
      <c r="AN268" s="77"/>
      <c r="AO268" s="77"/>
      <c r="AP268" s="77"/>
      <c r="AQ268" s="77" t="s">
        <v>4026</v>
      </c>
      <c r="AR268" s="77"/>
      <c r="AS268" s="77"/>
      <c r="AT268" s="77"/>
      <c r="AU268" s="77"/>
      <c r="AV268" s="80" t="str">
        <f>HYPERLINK("https://pbs.twimg.com/media/Fo16QNhXgAAPMoY.jpg")</f>
        <v>https://pbs.twimg.com/media/Fo16QNhXgAAPMoY.jpg</v>
      </c>
      <c r="AW268" s="82" t="s">
        <v>4602</v>
      </c>
      <c r="AX268" s="82" t="s">
        <v>4602</v>
      </c>
      <c r="AY268" s="77"/>
      <c r="AZ268" s="82" t="s">
        <v>5615</v>
      </c>
      <c r="BA268" s="82" t="s">
        <v>5615</v>
      </c>
      <c r="BB268" s="82" t="s">
        <v>5615</v>
      </c>
      <c r="BC268" s="82" t="s">
        <v>4602</v>
      </c>
      <c r="BD268" s="82" t="s">
        <v>5926</v>
      </c>
      <c r="BE268" s="77"/>
      <c r="BF268" s="77"/>
      <c r="BG268" s="77"/>
      <c r="BH268" s="77"/>
      <c r="BI268" s="77"/>
    </row>
    <row r="269" spans="1:61" x14ac:dyDescent="0.25">
      <c r="A269" s="62" t="s">
        <v>321</v>
      </c>
      <c r="B269" s="62" t="s">
        <v>321</v>
      </c>
      <c r="C269" s="63"/>
      <c r="D269" s="64"/>
      <c r="E269" s="65"/>
      <c r="F269" s="66"/>
      <c r="G269" s="63"/>
      <c r="H269" s="67"/>
      <c r="I269" s="68"/>
      <c r="J269" s="68"/>
      <c r="K269" s="32"/>
      <c r="L269" s="75">
        <v>269</v>
      </c>
      <c r="M269" s="75"/>
      <c r="N269" s="70"/>
      <c r="O269" s="77" t="s">
        <v>583</v>
      </c>
      <c r="P269" s="79">
        <v>44936.646689814814</v>
      </c>
      <c r="Q269" s="77" t="s">
        <v>851</v>
      </c>
      <c r="R269" s="77">
        <v>0</v>
      </c>
      <c r="S269" s="77">
        <v>1</v>
      </c>
      <c r="T269" s="77">
        <v>0</v>
      </c>
      <c r="U269" s="77">
        <v>0</v>
      </c>
      <c r="V269" s="77">
        <v>550</v>
      </c>
      <c r="W269" s="82" t="s">
        <v>1563</v>
      </c>
      <c r="X269" s="80" t="str">
        <f>HYPERLINK("https://bit.ly/3IBSJDo")</f>
        <v>https://bit.ly/3IBSJDo</v>
      </c>
      <c r="Y269" s="77" t="s">
        <v>2132</v>
      </c>
      <c r="Z269" s="77" t="s">
        <v>2180</v>
      </c>
      <c r="AA269" s="77"/>
      <c r="AB269" s="77"/>
      <c r="AC269" s="82" t="s">
        <v>2722</v>
      </c>
      <c r="AD269" s="77" t="s">
        <v>2752</v>
      </c>
      <c r="AE269" s="80" t="str">
        <f>HYPERLINK("https://twitter.com/sunonoticias/status/1612834459044167680")</f>
        <v>https://twitter.com/sunonoticias/status/1612834459044167680</v>
      </c>
      <c r="AF269" s="79">
        <v>44936.646689814814</v>
      </c>
      <c r="AG269" s="85">
        <v>44936</v>
      </c>
      <c r="AH269" s="82" t="s">
        <v>3025</v>
      </c>
      <c r="AI269" s="77" t="b">
        <v>0</v>
      </c>
      <c r="AJ269" s="77"/>
      <c r="AK269" s="77"/>
      <c r="AL269" s="77"/>
      <c r="AM269" s="77"/>
      <c r="AN269" s="77"/>
      <c r="AO269" s="77"/>
      <c r="AP269" s="77"/>
      <c r="AQ269" s="77"/>
      <c r="AR269" s="77"/>
      <c r="AS269" s="77"/>
      <c r="AT269" s="77"/>
      <c r="AU269" s="77"/>
      <c r="AV269" s="80" t="str">
        <f>HYPERLINK("https://pbs.twimg.com/profile_images/1615417996826054674/S4AQ1ejx_normal.jpg")</f>
        <v>https://pbs.twimg.com/profile_images/1615417996826054674/S4AQ1ejx_normal.jpg</v>
      </c>
      <c r="AW269" s="82" t="s">
        <v>4603</v>
      </c>
      <c r="AX269" s="82" t="s">
        <v>5330</v>
      </c>
      <c r="AY269" s="82" t="s">
        <v>5583</v>
      </c>
      <c r="AZ269" s="82" t="s">
        <v>5619</v>
      </c>
      <c r="BA269" s="82" t="s">
        <v>5615</v>
      </c>
      <c r="BB269" s="82" t="s">
        <v>5615</v>
      </c>
      <c r="BC269" s="82" t="s">
        <v>5619</v>
      </c>
      <c r="BD269" s="82" t="s">
        <v>5583</v>
      </c>
      <c r="BE269" s="77"/>
      <c r="BF269" s="77"/>
      <c r="BG269" s="77"/>
      <c r="BH269" s="77"/>
      <c r="BI269" s="77"/>
    </row>
    <row r="270" spans="1:61" x14ac:dyDescent="0.25">
      <c r="A270" s="62" t="s">
        <v>322</v>
      </c>
      <c r="B270" s="62" t="s">
        <v>322</v>
      </c>
      <c r="C270" s="63"/>
      <c r="D270" s="64"/>
      <c r="E270" s="65"/>
      <c r="F270" s="66"/>
      <c r="G270" s="63"/>
      <c r="H270" s="67"/>
      <c r="I270" s="68"/>
      <c r="J270" s="68"/>
      <c r="K270" s="32"/>
      <c r="L270" s="75">
        <v>270</v>
      </c>
      <c r="M270" s="75"/>
      <c r="N270" s="70"/>
      <c r="O270" s="77" t="s">
        <v>179</v>
      </c>
      <c r="P270" s="79">
        <v>44934.517627314817</v>
      </c>
      <c r="Q270" s="77" t="s">
        <v>852</v>
      </c>
      <c r="R270" s="77">
        <v>0</v>
      </c>
      <c r="S270" s="77">
        <v>0</v>
      </c>
      <c r="T270" s="77">
        <v>0</v>
      </c>
      <c r="U270" s="77">
        <v>0</v>
      </c>
      <c r="V270" s="77">
        <v>5</v>
      </c>
      <c r="W270" s="82" t="s">
        <v>1697</v>
      </c>
      <c r="X270" s="80" t="str">
        <f>HYPERLINK("https://trabalhecomigo.net/izaiasbluedrops")</f>
        <v>https://trabalhecomigo.net/izaiasbluedrops</v>
      </c>
      <c r="Y270" s="77" t="s">
        <v>2147</v>
      </c>
      <c r="Z270" s="77"/>
      <c r="AA270" s="77" t="s">
        <v>2401</v>
      </c>
      <c r="AB270" s="77" t="s">
        <v>2713</v>
      </c>
      <c r="AC270" s="82" t="s">
        <v>2719</v>
      </c>
      <c r="AD270" s="77" t="s">
        <v>2752</v>
      </c>
      <c r="AE270" s="80" t="str">
        <f>HYPERLINK("https://twitter.com/izaias_liborio/status/1612062912553652225")</f>
        <v>https://twitter.com/izaias_liborio/status/1612062912553652225</v>
      </c>
      <c r="AF270" s="79">
        <v>44934.517627314817</v>
      </c>
      <c r="AG270" s="85">
        <v>44934</v>
      </c>
      <c r="AH270" s="82" t="s">
        <v>3026</v>
      </c>
      <c r="AI270" s="77" t="b">
        <v>0</v>
      </c>
      <c r="AJ270" s="77"/>
      <c r="AK270" s="77"/>
      <c r="AL270" s="77"/>
      <c r="AM270" s="77"/>
      <c r="AN270" s="77"/>
      <c r="AO270" s="77"/>
      <c r="AP270" s="77"/>
      <c r="AQ270" s="77" t="s">
        <v>4027</v>
      </c>
      <c r="AR270" s="77">
        <v>19520</v>
      </c>
      <c r="AS270" s="77"/>
      <c r="AT270" s="77"/>
      <c r="AU270" s="77"/>
      <c r="AV270" s="80" t="str">
        <f>HYPERLINK("https://pbs.twimg.com/ext_tw_video_thumb/1612062866680516608/pu/img/DKxFwzb4Eac_OCGz.jpg")</f>
        <v>https://pbs.twimg.com/ext_tw_video_thumb/1612062866680516608/pu/img/DKxFwzb4Eac_OCGz.jpg</v>
      </c>
      <c r="AW270" s="82" t="s">
        <v>4604</v>
      </c>
      <c r="AX270" s="82" t="s">
        <v>4604</v>
      </c>
      <c r="AY270" s="77"/>
      <c r="AZ270" s="82" t="s">
        <v>5615</v>
      </c>
      <c r="BA270" s="82" t="s">
        <v>5615</v>
      </c>
      <c r="BB270" s="82" t="s">
        <v>5615</v>
      </c>
      <c r="BC270" s="82" t="s">
        <v>4604</v>
      </c>
      <c r="BD270" s="82" t="s">
        <v>5927</v>
      </c>
      <c r="BE270" s="77"/>
      <c r="BF270" s="77"/>
      <c r="BG270" s="77"/>
      <c r="BH270" s="77"/>
      <c r="BI270" s="77"/>
    </row>
    <row r="271" spans="1:61" x14ac:dyDescent="0.25">
      <c r="A271" s="62" t="s">
        <v>323</v>
      </c>
      <c r="B271" s="62" t="s">
        <v>323</v>
      </c>
      <c r="C271" s="63"/>
      <c r="D271" s="64"/>
      <c r="E271" s="65"/>
      <c r="F271" s="66"/>
      <c r="G271" s="63"/>
      <c r="H271" s="67"/>
      <c r="I271" s="68"/>
      <c r="J271" s="68"/>
      <c r="K271" s="32"/>
      <c r="L271" s="75">
        <v>271</v>
      </c>
      <c r="M271" s="75"/>
      <c r="N271" s="70"/>
      <c r="O271" s="77" t="s">
        <v>179</v>
      </c>
      <c r="P271" s="79">
        <v>45026.459120370368</v>
      </c>
      <c r="Q271" s="77" t="s">
        <v>853</v>
      </c>
      <c r="R271" s="77">
        <v>0</v>
      </c>
      <c r="S271" s="77">
        <v>0</v>
      </c>
      <c r="T271" s="77">
        <v>0</v>
      </c>
      <c r="U271" s="77">
        <v>0</v>
      </c>
      <c r="V271" s="77">
        <v>36</v>
      </c>
      <c r="W271" s="82" t="s">
        <v>1698</v>
      </c>
      <c r="X271" s="80" t="str">
        <f>HYPERLINK("https://chat.whatsapp.com/DeukwV6TZAP4SAKSYrv5gK")</f>
        <v>https://chat.whatsapp.com/DeukwV6TZAP4SAKSYrv5gK</v>
      </c>
      <c r="Y271" s="77" t="s">
        <v>2148</v>
      </c>
      <c r="Z271" s="77"/>
      <c r="AA271" s="77" t="s">
        <v>2402</v>
      </c>
      <c r="AB271" s="77" t="s">
        <v>2713</v>
      </c>
      <c r="AC271" s="82" t="s">
        <v>2719</v>
      </c>
      <c r="AD271" s="77" t="s">
        <v>2752</v>
      </c>
      <c r="AE271" s="80" t="str">
        <f>HYPERLINK("https://twitter.com/cammilatorres91/status/1645381391700336640")</f>
        <v>https://twitter.com/cammilatorres91/status/1645381391700336640</v>
      </c>
      <c r="AF271" s="79">
        <v>45026.459120370368</v>
      </c>
      <c r="AG271" s="85">
        <v>45026</v>
      </c>
      <c r="AH271" s="82" t="s">
        <v>3027</v>
      </c>
      <c r="AI271" s="77" t="b">
        <v>1</v>
      </c>
      <c r="AJ271" s="77"/>
      <c r="AK271" s="77"/>
      <c r="AL271" s="77"/>
      <c r="AM271" s="77"/>
      <c r="AN271" s="77"/>
      <c r="AO271" s="77"/>
      <c r="AP271" s="77"/>
      <c r="AQ271" s="77" t="s">
        <v>4028</v>
      </c>
      <c r="AR271" s="77">
        <v>59022</v>
      </c>
      <c r="AS271" s="77"/>
      <c r="AT271" s="77"/>
      <c r="AU271" s="77"/>
      <c r="AV271" s="80" t="str">
        <f>HYPERLINK("https://pbs.twimg.com/ext_tw_video_thumb/1645381352689213442/pu/img/OZpFdfRLZi9pgpw2.jpg")</f>
        <v>https://pbs.twimg.com/ext_tw_video_thumb/1645381352689213442/pu/img/OZpFdfRLZi9pgpw2.jpg</v>
      </c>
      <c r="AW271" s="82" t="s">
        <v>4605</v>
      </c>
      <c r="AX271" s="82" t="s">
        <v>4605</v>
      </c>
      <c r="AY271" s="77"/>
      <c r="AZ271" s="82" t="s">
        <v>5615</v>
      </c>
      <c r="BA271" s="82" t="s">
        <v>5615</v>
      </c>
      <c r="BB271" s="82" t="s">
        <v>5615</v>
      </c>
      <c r="BC271" s="82" t="s">
        <v>4605</v>
      </c>
      <c r="BD271" s="82" t="s">
        <v>5928</v>
      </c>
      <c r="BE271" s="77"/>
      <c r="BF271" s="77"/>
      <c r="BG271" s="77"/>
      <c r="BH271" s="77"/>
      <c r="BI271" s="77"/>
    </row>
    <row r="272" spans="1:61" x14ac:dyDescent="0.25">
      <c r="A272" s="62" t="s">
        <v>324</v>
      </c>
      <c r="B272" s="62" t="s">
        <v>324</v>
      </c>
      <c r="C272" s="63"/>
      <c r="D272" s="64"/>
      <c r="E272" s="65"/>
      <c r="F272" s="66"/>
      <c r="G272" s="63"/>
      <c r="H272" s="67"/>
      <c r="I272" s="68"/>
      <c r="J272" s="68"/>
      <c r="K272" s="32"/>
      <c r="L272" s="75">
        <v>272</v>
      </c>
      <c r="M272" s="75"/>
      <c r="N272" s="70"/>
      <c r="O272" s="77" t="s">
        <v>179</v>
      </c>
      <c r="P272" s="79">
        <v>45018.881388888891</v>
      </c>
      <c r="Q272" s="77" t="s">
        <v>854</v>
      </c>
      <c r="R272" s="77">
        <v>0</v>
      </c>
      <c r="S272" s="77">
        <v>0</v>
      </c>
      <c r="T272" s="77">
        <v>0</v>
      </c>
      <c r="U272" s="77">
        <v>0</v>
      </c>
      <c r="V272" s="77">
        <v>31</v>
      </c>
      <c r="W272" s="82" t="s">
        <v>1699</v>
      </c>
      <c r="X272" s="77"/>
      <c r="Y272" s="77"/>
      <c r="Z272" s="77"/>
      <c r="AA272" s="77" t="s">
        <v>2403</v>
      </c>
      <c r="AB272" s="77" t="s">
        <v>2713</v>
      </c>
      <c r="AC272" s="82" t="s">
        <v>2719</v>
      </c>
      <c r="AD272" s="77" t="s">
        <v>2752</v>
      </c>
      <c r="AE272" s="80" t="str">
        <f>HYPERLINK("https://twitter.com/papodemilhao022/status/1642635314479915009")</f>
        <v>https://twitter.com/papodemilhao022/status/1642635314479915009</v>
      </c>
      <c r="AF272" s="79">
        <v>45018.881388888891</v>
      </c>
      <c r="AG272" s="85">
        <v>45018</v>
      </c>
      <c r="AH272" s="82" t="s">
        <v>3028</v>
      </c>
      <c r="AI272" s="77" t="b">
        <v>0</v>
      </c>
      <c r="AJ272" s="77"/>
      <c r="AK272" s="77"/>
      <c r="AL272" s="77"/>
      <c r="AM272" s="77"/>
      <c r="AN272" s="77"/>
      <c r="AO272" s="77"/>
      <c r="AP272" s="77"/>
      <c r="AQ272" s="77" t="s">
        <v>4029</v>
      </c>
      <c r="AR272" s="77">
        <v>10033</v>
      </c>
      <c r="AS272" s="77"/>
      <c r="AT272" s="77"/>
      <c r="AU272" s="77"/>
      <c r="AV272" s="80" t="str">
        <f>HYPERLINK("https://pbs.twimg.com/ext_tw_video_thumb/1642635294309490689/pu/img/NF8VKkZdsBs3OFH8.jpg")</f>
        <v>https://pbs.twimg.com/ext_tw_video_thumb/1642635294309490689/pu/img/NF8VKkZdsBs3OFH8.jpg</v>
      </c>
      <c r="AW272" s="82" t="s">
        <v>4606</v>
      </c>
      <c r="AX272" s="82" t="s">
        <v>4606</v>
      </c>
      <c r="AY272" s="77"/>
      <c r="AZ272" s="82" t="s">
        <v>5615</v>
      </c>
      <c r="BA272" s="82" t="s">
        <v>5615</v>
      </c>
      <c r="BB272" s="82" t="s">
        <v>5615</v>
      </c>
      <c r="BC272" s="82" t="s">
        <v>4606</v>
      </c>
      <c r="BD272" s="82" t="s">
        <v>5929</v>
      </c>
      <c r="BE272" s="77"/>
      <c r="BF272" s="77"/>
      <c r="BG272" s="77"/>
      <c r="BH272" s="77"/>
      <c r="BI272" s="77"/>
    </row>
    <row r="273" spans="1:61" x14ac:dyDescent="0.25">
      <c r="A273" s="62" t="s">
        <v>325</v>
      </c>
      <c r="B273" s="62" t="s">
        <v>325</v>
      </c>
      <c r="C273" s="63"/>
      <c r="D273" s="64"/>
      <c r="E273" s="65"/>
      <c r="F273" s="66"/>
      <c r="G273" s="63"/>
      <c r="H273" s="67"/>
      <c r="I273" s="68"/>
      <c r="J273" s="68"/>
      <c r="K273" s="32"/>
      <c r="L273" s="75">
        <v>273</v>
      </c>
      <c r="M273" s="75"/>
      <c r="N273" s="70"/>
      <c r="O273" s="77" t="s">
        <v>179</v>
      </c>
      <c r="P273" s="79">
        <v>45158.513252314813</v>
      </c>
      <c r="Q273" s="77" t="s">
        <v>855</v>
      </c>
      <c r="R273" s="77">
        <v>0</v>
      </c>
      <c r="S273" s="77">
        <v>0</v>
      </c>
      <c r="T273" s="77">
        <v>0</v>
      </c>
      <c r="U273" s="77">
        <v>0</v>
      </c>
      <c r="V273" s="77">
        <v>47</v>
      </c>
      <c r="W273" s="82" t="s">
        <v>1700</v>
      </c>
      <c r="X273" s="77"/>
      <c r="Y273" s="77"/>
      <c r="Z273" s="77"/>
      <c r="AA273" s="77" t="s">
        <v>2404</v>
      </c>
      <c r="AB273" s="77" t="s">
        <v>2713</v>
      </c>
      <c r="AC273" s="82" t="s">
        <v>2719</v>
      </c>
      <c r="AD273" s="77" t="s">
        <v>2752</v>
      </c>
      <c r="AE273" s="80" t="str">
        <f>HYPERLINK("https://twitter.com/cartianuel1725/status/1693236207050723810")</f>
        <v>https://twitter.com/cartianuel1725/status/1693236207050723810</v>
      </c>
      <c r="AF273" s="79">
        <v>45158.513252314813</v>
      </c>
      <c r="AG273" s="85">
        <v>45158</v>
      </c>
      <c r="AH273" s="82" t="s">
        <v>3029</v>
      </c>
      <c r="AI273" s="77" t="b">
        <v>0</v>
      </c>
      <c r="AJ273" s="77"/>
      <c r="AK273" s="77"/>
      <c r="AL273" s="77"/>
      <c r="AM273" s="77"/>
      <c r="AN273" s="77"/>
      <c r="AO273" s="77"/>
      <c r="AP273" s="77"/>
      <c r="AQ273" s="77" t="s">
        <v>4030</v>
      </c>
      <c r="AR273" s="77">
        <v>44975</v>
      </c>
      <c r="AS273" s="77"/>
      <c r="AT273" s="77"/>
      <c r="AU273" s="77"/>
      <c r="AV273" s="80" t="str">
        <f>HYPERLINK("https://pbs.twimg.com/ext_tw_video_thumb/1693236107918397440/pu/img/KYTUSU2Wym-IZUh4.jpg")</f>
        <v>https://pbs.twimg.com/ext_tw_video_thumb/1693236107918397440/pu/img/KYTUSU2Wym-IZUh4.jpg</v>
      </c>
      <c r="AW273" s="82" t="s">
        <v>4607</v>
      </c>
      <c r="AX273" s="82" t="s">
        <v>4607</v>
      </c>
      <c r="AY273" s="77"/>
      <c r="AZ273" s="82" t="s">
        <v>5615</v>
      </c>
      <c r="BA273" s="82" t="s">
        <v>5615</v>
      </c>
      <c r="BB273" s="82" t="s">
        <v>5615</v>
      </c>
      <c r="BC273" s="82" t="s">
        <v>4607</v>
      </c>
      <c r="BD273" s="82" t="s">
        <v>5930</v>
      </c>
      <c r="BE273" s="77"/>
      <c r="BF273" s="77"/>
      <c r="BG273" s="77"/>
      <c r="BH273" s="77"/>
      <c r="BI273" s="77"/>
    </row>
    <row r="274" spans="1:61" x14ac:dyDescent="0.25">
      <c r="A274" s="62" t="s">
        <v>326</v>
      </c>
      <c r="B274" s="62" t="s">
        <v>326</v>
      </c>
      <c r="C274" s="63"/>
      <c r="D274" s="64"/>
      <c r="E274" s="65"/>
      <c r="F274" s="66"/>
      <c r="G274" s="63"/>
      <c r="H274" s="67"/>
      <c r="I274" s="68"/>
      <c r="J274" s="68"/>
      <c r="K274" s="32"/>
      <c r="L274" s="75">
        <v>274</v>
      </c>
      <c r="M274" s="75"/>
      <c r="N274" s="70"/>
      <c r="O274" s="77" t="s">
        <v>179</v>
      </c>
      <c r="P274" s="79">
        <v>44980.542094907411</v>
      </c>
      <c r="Q274" s="77" t="s">
        <v>856</v>
      </c>
      <c r="R274" s="77">
        <v>0</v>
      </c>
      <c r="S274" s="77">
        <v>0</v>
      </c>
      <c r="T274" s="77">
        <v>0</v>
      </c>
      <c r="U274" s="77">
        <v>0</v>
      </c>
      <c r="V274" s="77">
        <v>15</v>
      </c>
      <c r="W274" s="82" t="s">
        <v>1701</v>
      </c>
      <c r="X274" s="77"/>
      <c r="Y274" s="77"/>
      <c r="Z274" s="77"/>
      <c r="AA274" s="77" t="s">
        <v>2405</v>
      </c>
      <c r="AB274" s="77" t="s">
        <v>2713</v>
      </c>
      <c r="AC274" s="82" t="s">
        <v>2721</v>
      </c>
      <c r="AD274" s="77" t="s">
        <v>2752</v>
      </c>
      <c r="AE274" s="80" t="str">
        <f>HYPERLINK("https://twitter.com/deborarosacoach/status/1628741618466447361")</f>
        <v>https://twitter.com/deborarosacoach/status/1628741618466447361</v>
      </c>
      <c r="AF274" s="79">
        <v>44980.542094907411</v>
      </c>
      <c r="AG274" s="85">
        <v>44980</v>
      </c>
      <c r="AH274" s="82" t="s">
        <v>3030</v>
      </c>
      <c r="AI274" s="77" t="b">
        <v>0</v>
      </c>
      <c r="AJ274" s="77"/>
      <c r="AK274" s="77"/>
      <c r="AL274" s="77"/>
      <c r="AM274" s="77"/>
      <c r="AN274" s="77"/>
      <c r="AO274" s="77"/>
      <c r="AP274" s="77"/>
      <c r="AQ274" s="77" t="s">
        <v>4031</v>
      </c>
      <c r="AR274" s="77">
        <v>5000</v>
      </c>
      <c r="AS274" s="77"/>
      <c r="AT274" s="77"/>
      <c r="AU274" s="77"/>
      <c r="AV274" s="80" t="str">
        <f>HYPERLINK("https://pbs.twimg.com/ext_tw_video_thumb/1628741595683082240/pu/img/4oEzZnotGpzVM5fD.jpg")</f>
        <v>https://pbs.twimg.com/ext_tw_video_thumb/1628741595683082240/pu/img/4oEzZnotGpzVM5fD.jpg</v>
      </c>
      <c r="AW274" s="82" t="s">
        <v>4608</v>
      </c>
      <c r="AX274" s="82" t="s">
        <v>4608</v>
      </c>
      <c r="AY274" s="77"/>
      <c r="AZ274" s="82" t="s">
        <v>5615</v>
      </c>
      <c r="BA274" s="82" t="s">
        <v>5615</v>
      </c>
      <c r="BB274" s="82" t="s">
        <v>5615</v>
      </c>
      <c r="BC274" s="82" t="s">
        <v>4608</v>
      </c>
      <c r="BD274" s="82" t="s">
        <v>5931</v>
      </c>
      <c r="BE274" s="77"/>
      <c r="BF274" s="77"/>
      <c r="BG274" s="77"/>
      <c r="BH274" s="77"/>
      <c r="BI274" s="77"/>
    </row>
    <row r="275" spans="1:61" x14ac:dyDescent="0.25">
      <c r="A275" s="62" t="s">
        <v>327</v>
      </c>
      <c r="B275" s="62" t="s">
        <v>327</v>
      </c>
      <c r="C275" s="63"/>
      <c r="D275" s="64"/>
      <c r="E275" s="65"/>
      <c r="F275" s="66"/>
      <c r="G275" s="63"/>
      <c r="H275" s="67"/>
      <c r="I275" s="68"/>
      <c r="J275" s="68"/>
      <c r="K275" s="32"/>
      <c r="L275" s="75">
        <v>275</v>
      </c>
      <c r="M275" s="75"/>
      <c r="N275" s="70"/>
      <c r="O275" s="77" t="s">
        <v>179</v>
      </c>
      <c r="P275" s="79">
        <v>45134.636655092596</v>
      </c>
      <c r="Q275" s="77" t="s">
        <v>857</v>
      </c>
      <c r="R275" s="77">
        <v>0</v>
      </c>
      <c r="S275" s="77">
        <v>0</v>
      </c>
      <c r="T275" s="77">
        <v>0</v>
      </c>
      <c r="U275" s="77">
        <v>0</v>
      </c>
      <c r="V275" s="77">
        <v>7</v>
      </c>
      <c r="W275" s="82" t="s">
        <v>1702</v>
      </c>
      <c r="X275" s="80" t="str">
        <f>HYPERLINK("https://kiwify.app/b65Y0z6")</f>
        <v>https://kiwify.app/b65Y0z6</v>
      </c>
      <c r="Y275" s="77" t="s">
        <v>2145</v>
      </c>
      <c r="Z275" s="77"/>
      <c r="AA275" s="77"/>
      <c r="AB275" s="77"/>
      <c r="AC275" s="82" t="s">
        <v>2719</v>
      </c>
      <c r="AD275" s="77" t="s">
        <v>2752</v>
      </c>
      <c r="AE275" s="80" t="str">
        <f>HYPERLINK("https://twitter.com/achadosdomark/status/1684583617966604288")</f>
        <v>https://twitter.com/achadosdomark/status/1684583617966604288</v>
      </c>
      <c r="AF275" s="79">
        <v>45134.636655092596</v>
      </c>
      <c r="AG275" s="85">
        <v>45134</v>
      </c>
      <c r="AH275" s="82" t="s">
        <v>3031</v>
      </c>
      <c r="AI275" s="77" t="b">
        <v>0</v>
      </c>
      <c r="AJ275" s="77"/>
      <c r="AK275" s="77"/>
      <c r="AL275" s="77"/>
      <c r="AM275" s="77"/>
      <c r="AN275" s="77"/>
      <c r="AO275" s="77"/>
      <c r="AP275" s="77"/>
      <c r="AQ275" s="77"/>
      <c r="AR275" s="77"/>
      <c r="AS275" s="77"/>
      <c r="AT275" s="77"/>
      <c r="AU275" s="77"/>
      <c r="AV275" s="80" t="str">
        <f>HYPERLINK("https://pbs.twimg.com/profile_images/1672324531053010948/ZGQMaENz_normal.jpg")</f>
        <v>https://pbs.twimg.com/profile_images/1672324531053010948/ZGQMaENz_normal.jpg</v>
      </c>
      <c r="AW275" s="82" t="s">
        <v>4609</v>
      </c>
      <c r="AX275" s="82" t="s">
        <v>4609</v>
      </c>
      <c r="AY275" s="77"/>
      <c r="AZ275" s="82" t="s">
        <v>5615</v>
      </c>
      <c r="BA275" s="82" t="s">
        <v>5615</v>
      </c>
      <c r="BB275" s="82" t="s">
        <v>5615</v>
      </c>
      <c r="BC275" s="82" t="s">
        <v>4609</v>
      </c>
      <c r="BD275" s="82" t="s">
        <v>5584</v>
      </c>
      <c r="BE275" s="77"/>
      <c r="BF275" s="77"/>
      <c r="BG275" s="77"/>
      <c r="BH275" s="77"/>
      <c r="BI275" s="77"/>
    </row>
    <row r="276" spans="1:61" x14ac:dyDescent="0.25">
      <c r="A276" s="62" t="s">
        <v>327</v>
      </c>
      <c r="B276" s="62" t="s">
        <v>327</v>
      </c>
      <c r="C276" s="63"/>
      <c r="D276" s="64"/>
      <c r="E276" s="65"/>
      <c r="F276" s="66"/>
      <c r="G276" s="63"/>
      <c r="H276" s="67"/>
      <c r="I276" s="68"/>
      <c r="J276" s="68"/>
      <c r="K276" s="32"/>
      <c r="L276" s="75">
        <v>276</v>
      </c>
      <c r="M276" s="75"/>
      <c r="N276" s="70"/>
      <c r="O276" s="77" t="s">
        <v>583</v>
      </c>
      <c r="P276" s="79">
        <v>45109.667858796296</v>
      </c>
      <c r="Q276" s="77" t="s">
        <v>858</v>
      </c>
      <c r="R276" s="77">
        <v>0</v>
      </c>
      <c r="S276" s="77">
        <v>0</v>
      </c>
      <c r="T276" s="77">
        <v>0</v>
      </c>
      <c r="U276" s="77">
        <v>0</v>
      </c>
      <c r="V276" s="77">
        <v>6</v>
      </c>
      <c r="W276" s="82" t="s">
        <v>1703</v>
      </c>
      <c r="X276" s="80" t="str">
        <f>HYPERLINK("https://kiwify.app/EZJ9oHd")</f>
        <v>https://kiwify.app/EZJ9oHd</v>
      </c>
      <c r="Y276" s="77" t="s">
        <v>2145</v>
      </c>
      <c r="Z276" s="77"/>
      <c r="AA276" s="77"/>
      <c r="AB276" s="77"/>
      <c r="AC276" s="82" t="s">
        <v>2719</v>
      </c>
      <c r="AD276" s="77" t="s">
        <v>2753</v>
      </c>
      <c r="AE276" s="80" t="str">
        <f>HYPERLINK("https://twitter.com/achadosdomark/status/1675535229837082625")</f>
        <v>https://twitter.com/achadosdomark/status/1675535229837082625</v>
      </c>
      <c r="AF276" s="79">
        <v>45109.667858796296</v>
      </c>
      <c r="AG276" s="85">
        <v>45109</v>
      </c>
      <c r="AH276" s="82" t="s">
        <v>3032</v>
      </c>
      <c r="AI276" s="77" t="b">
        <v>0</v>
      </c>
      <c r="AJ276" s="77"/>
      <c r="AK276" s="77"/>
      <c r="AL276" s="77"/>
      <c r="AM276" s="77"/>
      <c r="AN276" s="77"/>
      <c r="AO276" s="77"/>
      <c r="AP276" s="77"/>
      <c r="AQ276" s="77"/>
      <c r="AR276" s="77"/>
      <c r="AS276" s="77"/>
      <c r="AT276" s="77"/>
      <c r="AU276" s="77"/>
      <c r="AV276" s="80" t="str">
        <f>HYPERLINK("https://pbs.twimg.com/profile_images/1672324531053010948/ZGQMaENz_normal.jpg")</f>
        <v>https://pbs.twimg.com/profile_images/1672324531053010948/ZGQMaENz_normal.jpg</v>
      </c>
      <c r="AW276" s="82" t="s">
        <v>4610</v>
      </c>
      <c r="AX276" s="82" t="s">
        <v>5331</v>
      </c>
      <c r="AY276" s="82" t="s">
        <v>5584</v>
      </c>
      <c r="AZ276" s="82" t="s">
        <v>5620</v>
      </c>
      <c r="BA276" s="82" t="s">
        <v>5615</v>
      </c>
      <c r="BB276" s="82" t="s">
        <v>5615</v>
      </c>
      <c r="BC276" s="82" t="s">
        <v>5620</v>
      </c>
      <c r="BD276" s="82" t="s">
        <v>5584</v>
      </c>
      <c r="BE276" s="77"/>
      <c r="BF276" s="77"/>
      <c r="BG276" s="77"/>
      <c r="BH276" s="77"/>
      <c r="BI276" s="77"/>
    </row>
    <row r="277" spans="1:61" x14ac:dyDescent="0.25">
      <c r="A277" s="62" t="s">
        <v>328</v>
      </c>
      <c r="B277" s="62" t="s">
        <v>328</v>
      </c>
      <c r="C277" s="63"/>
      <c r="D277" s="64"/>
      <c r="E277" s="65"/>
      <c r="F277" s="66"/>
      <c r="G277" s="63"/>
      <c r="H277" s="67"/>
      <c r="I277" s="68"/>
      <c r="J277" s="68"/>
      <c r="K277" s="32"/>
      <c r="L277" s="75">
        <v>277</v>
      </c>
      <c r="M277" s="75"/>
      <c r="N277" s="70"/>
      <c r="O277" s="77" t="s">
        <v>179</v>
      </c>
      <c r="P277" s="79">
        <v>45175.711157407408</v>
      </c>
      <c r="Q277" s="77" t="s">
        <v>859</v>
      </c>
      <c r="R277" s="77">
        <v>0</v>
      </c>
      <c r="S277" s="77">
        <v>0</v>
      </c>
      <c r="T277" s="77">
        <v>0</v>
      </c>
      <c r="U277" s="77">
        <v>0</v>
      </c>
      <c r="V277" s="77">
        <v>15</v>
      </c>
      <c r="W277" s="82" t="s">
        <v>1704</v>
      </c>
      <c r="X277" s="77"/>
      <c r="Y277" s="77"/>
      <c r="Z277" s="77"/>
      <c r="AA277" s="77"/>
      <c r="AB277" s="77"/>
      <c r="AC277" s="82" t="s">
        <v>2722</v>
      </c>
      <c r="AD277" s="77" t="s">
        <v>2752</v>
      </c>
      <c r="AE277" s="80" t="str">
        <f>HYPERLINK("https://twitter.com/brunno_brss/status/1699468522051506621")</f>
        <v>https://twitter.com/brunno_brss/status/1699468522051506621</v>
      </c>
      <c r="AF277" s="79">
        <v>45175.711157407408</v>
      </c>
      <c r="AG277" s="85">
        <v>45175</v>
      </c>
      <c r="AH277" s="82" t="s">
        <v>3033</v>
      </c>
      <c r="AI277" s="77"/>
      <c r="AJ277" s="77"/>
      <c r="AK277" s="77"/>
      <c r="AL277" s="77"/>
      <c r="AM277" s="77"/>
      <c r="AN277" s="77"/>
      <c r="AO277" s="77"/>
      <c r="AP277" s="77"/>
      <c r="AQ277" s="77"/>
      <c r="AR277" s="77"/>
      <c r="AS277" s="77"/>
      <c r="AT277" s="77"/>
      <c r="AU277" s="77"/>
      <c r="AV277" s="80" t="str">
        <f>HYPERLINK("https://pbs.twimg.com/profile_images/1673901246057422851/0YuRxukL_normal.jpg")</f>
        <v>https://pbs.twimg.com/profile_images/1673901246057422851/0YuRxukL_normal.jpg</v>
      </c>
      <c r="AW277" s="82" t="s">
        <v>4611</v>
      </c>
      <c r="AX277" s="82" t="s">
        <v>4611</v>
      </c>
      <c r="AY277" s="77"/>
      <c r="AZ277" s="82" t="s">
        <v>5615</v>
      </c>
      <c r="BA277" s="82" t="s">
        <v>5615</v>
      </c>
      <c r="BB277" s="82" t="s">
        <v>5615</v>
      </c>
      <c r="BC277" s="82" t="s">
        <v>4611</v>
      </c>
      <c r="BD277" s="77">
        <v>208372570</v>
      </c>
      <c r="BE277" s="77"/>
      <c r="BF277" s="77"/>
      <c r="BG277" s="77"/>
      <c r="BH277" s="77"/>
      <c r="BI277" s="77"/>
    </row>
    <row r="278" spans="1:61" x14ac:dyDescent="0.25">
      <c r="A278" s="62" t="s">
        <v>329</v>
      </c>
      <c r="B278" s="62" t="s">
        <v>329</v>
      </c>
      <c r="C278" s="63"/>
      <c r="D278" s="64"/>
      <c r="E278" s="65"/>
      <c r="F278" s="66"/>
      <c r="G278" s="63"/>
      <c r="H278" s="67"/>
      <c r="I278" s="68"/>
      <c r="J278" s="68"/>
      <c r="K278" s="32"/>
      <c r="L278" s="75">
        <v>278</v>
      </c>
      <c r="M278" s="75"/>
      <c r="N278" s="70"/>
      <c r="O278" s="77" t="s">
        <v>179</v>
      </c>
      <c r="P278" s="79">
        <v>45073.010081018518</v>
      </c>
      <c r="Q278" s="77" t="s">
        <v>860</v>
      </c>
      <c r="R278" s="77">
        <v>0</v>
      </c>
      <c r="S278" s="77">
        <v>0</v>
      </c>
      <c r="T278" s="77">
        <v>0</v>
      </c>
      <c r="U278" s="77">
        <v>0</v>
      </c>
      <c r="V278" s="77">
        <v>19</v>
      </c>
      <c r="W278" s="82" t="s">
        <v>1705</v>
      </c>
      <c r="X278" s="77"/>
      <c r="Y278" s="77"/>
      <c r="Z278" s="77"/>
      <c r="AA278" s="77" t="s">
        <v>2406</v>
      </c>
      <c r="AB278" s="77" t="s">
        <v>2713</v>
      </c>
      <c r="AC278" s="82" t="s">
        <v>2719</v>
      </c>
      <c r="AD278" s="77" t="s">
        <v>2752</v>
      </c>
      <c r="AE278" s="80" t="str">
        <f>HYPERLINK("https://twitter.com/eduardo_mp28/status/1662250894887354370")</f>
        <v>https://twitter.com/eduardo_mp28/status/1662250894887354370</v>
      </c>
      <c r="AF278" s="79">
        <v>45073.010081018518</v>
      </c>
      <c r="AG278" s="85">
        <v>45073</v>
      </c>
      <c r="AH278" s="82" t="s">
        <v>3034</v>
      </c>
      <c r="AI278" s="77" t="b">
        <v>0</v>
      </c>
      <c r="AJ278" s="77"/>
      <c r="AK278" s="77"/>
      <c r="AL278" s="77"/>
      <c r="AM278" s="77"/>
      <c r="AN278" s="77"/>
      <c r="AO278" s="77"/>
      <c r="AP278" s="77"/>
      <c r="AQ278" s="77" t="s">
        <v>4032</v>
      </c>
      <c r="AR278" s="77">
        <v>15000</v>
      </c>
      <c r="AS278" s="77"/>
      <c r="AT278" s="77"/>
      <c r="AU278" s="77"/>
      <c r="AV278" s="80" t="str">
        <f>HYPERLINK("https://pbs.twimg.com/ext_tw_video_thumb/1662250866659803139/pu/img/ARP7Wcqo7MwIBGvQ.jpg")</f>
        <v>https://pbs.twimg.com/ext_tw_video_thumb/1662250866659803139/pu/img/ARP7Wcqo7MwIBGvQ.jpg</v>
      </c>
      <c r="AW278" s="82" t="s">
        <v>4612</v>
      </c>
      <c r="AX278" s="82" t="s">
        <v>4612</v>
      </c>
      <c r="AY278" s="77"/>
      <c r="AZ278" s="82" t="s">
        <v>5615</v>
      </c>
      <c r="BA278" s="82" t="s">
        <v>5615</v>
      </c>
      <c r="BB278" s="82" t="s">
        <v>5615</v>
      </c>
      <c r="BC278" s="82" t="s">
        <v>4612</v>
      </c>
      <c r="BD278" s="82" t="s">
        <v>5932</v>
      </c>
      <c r="BE278" s="77"/>
      <c r="BF278" s="77"/>
      <c r="BG278" s="77"/>
      <c r="BH278" s="77"/>
      <c r="BI278" s="77"/>
    </row>
    <row r="279" spans="1:61" x14ac:dyDescent="0.25">
      <c r="A279" s="62" t="s">
        <v>329</v>
      </c>
      <c r="B279" s="62" t="s">
        <v>329</v>
      </c>
      <c r="C279" s="63"/>
      <c r="D279" s="64"/>
      <c r="E279" s="65"/>
      <c r="F279" s="66"/>
      <c r="G279" s="63"/>
      <c r="H279" s="67"/>
      <c r="I279" s="68"/>
      <c r="J279" s="68"/>
      <c r="K279" s="32"/>
      <c r="L279" s="75">
        <v>279</v>
      </c>
      <c r="M279" s="75"/>
      <c r="N279" s="70"/>
      <c r="O279" s="77" t="s">
        <v>179</v>
      </c>
      <c r="P279" s="79">
        <v>45073.009328703702</v>
      </c>
      <c r="Q279" s="77" t="s">
        <v>861</v>
      </c>
      <c r="R279" s="77">
        <v>0</v>
      </c>
      <c r="S279" s="77">
        <v>0</v>
      </c>
      <c r="T279" s="77">
        <v>0</v>
      </c>
      <c r="U279" s="77">
        <v>0</v>
      </c>
      <c r="V279" s="77">
        <v>28</v>
      </c>
      <c r="W279" s="82" t="s">
        <v>1705</v>
      </c>
      <c r="X279" s="77"/>
      <c r="Y279" s="77"/>
      <c r="Z279" s="77"/>
      <c r="AA279" s="77" t="s">
        <v>2407</v>
      </c>
      <c r="AB279" s="77" t="s">
        <v>2713</v>
      </c>
      <c r="AC279" s="82" t="s">
        <v>2719</v>
      </c>
      <c r="AD279" s="77" t="s">
        <v>2752</v>
      </c>
      <c r="AE279" s="80" t="str">
        <f>HYPERLINK("https://twitter.com/eduardo_mp28/status/1662250622475804673")</f>
        <v>https://twitter.com/eduardo_mp28/status/1662250622475804673</v>
      </c>
      <c r="AF279" s="79">
        <v>45073.009328703702</v>
      </c>
      <c r="AG279" s="85">
        <v>45073</v>
      </c>
      <c r="AH279" s="82" t="s">
        <v>3035</v>
      </c>
      <c r="AI279" s="77" t="b">
        <v>0</v>
      </c>
      <c r="AJ279" s="77"/>
      <c r="AK279" s="77"/>
      <c r="AL279" s="77"/>
      <c r="AM279" s="77"/>
      <c r="AN279" s="77"/>
      <c r="AO279" s="77"/>
      <c r="AP279" s="77"/>
      <c r="AQ279" s="77" t="s">
        <v>4033</v>
      </c>
      <c r="AR279" s="77">
        <v>13066</v>
      </c>
      <c r="AS279" s="77"/>
      <c r="AT279" s="77"/>
      <c r="AU279" s="77"/>
      <c r="AV279" s="80" t="str">
        <f>HYPERLINK("https://pbs.twimg.com/ext_tw_video_thumb/1662250587335929856/pu/img/KcRz7cAmZ1MmoUwu.jpg")</f>
        <v>https://pbs.twimg.com/ext_tw_video_thumb/1662250587335929856/pu/img/KcRz7cAmZ1MmoUwu.jpg</v>
      </c>
      <c r="AW279" s="82" t="s">
        <v>4613</v>
      </c>
      <c r="AX279" s="82" t="s">
        <v>4613</v>
      </c>
      <c r="AY279" s="77"/>
      <c r="AZ279" s="82" t="s">
        <v>5615</v>
      </c>
      <c r="BA279" s="82" t="s">
        <v>5615</v>
      </c>
      <c r="BB279" s="82" t="s">
        <v>5615</v>
      </c>
      <c r="BC279" s="82" t="s">
        <v>4613</v>
      </c>
      <c r="BD279" s="82" t="s">
        <v>5932</v>
      </c>
      <c r="BE279" s="77"/>
      <c r="BF279" s="77"/>
      <c r="BG279" s="77"/>
      <c r="BH279" s="77"/>
      <c r="BI279" s="77"/>
    </row>
    <row r="280" spans="1:61" x14ac:dyDescent="0.25">
      <c r="A280" s="62" t="s">
        <v>329</v>
      </c>
      <c r="B280" s="62" t="s">
        <v>329</v>
      </c>
      <c r="C280" s="63"/>
      <c r="D280" s="64"/>
      <c r="E280" s="65"/>
      <c r="F280" s="66"/>
      <c r="G280" s="63"/>
      <c r="H280" s="67"/>
      <c r="I280" s="68"/>
      <c r="J280" s="68"/>
      <c r="K280" s="32"/>
      <c r="L280" s="75">
        <v>280</v>
      </c>
      <c r="M280" s="75"/>
      <c r="N280" s="70"/>
      <c r="O280" s="77" t="s">
        <v>179</v>
      </c>
      <c r="P280" s="79">
        <v>45073.008252314816</v>
      </c>
      <c r="Q280" s="77" t="s">
        <v>862</v>
      </c>
      <c r="R280" s="77">
        <v>0</v>
      </c>
      <c r="S280" s="77">
        <v>0</v>
      </c>
      <c r="T280" s="77">
        <v>0</v>
      </c>
      <c r="U280" s="77">
        <v>0</v>
      </c>
      <c r="V280" s="77">
        <v>31</v>
      </c>
      <c r="W280" s="82" t="s">
        <v>1705</v>
      </c>
      <c r="X280" s="77"/>
      <c r="Y280" s="77"/>
      <c r="Z280" s="77"/>
      <c r="AA280" s="77" t="s">
        <v>2408</v>
      </c>
      <c r="AB280" s="77" t="s">
        <v>2713</v>
      </c>
      <c r="AC280" s="82" t="s">
        <v>2719</v>
      </c>
      <c r="AD280" s="77" t="s">
        <v>2752</v>
      </c>
      <c r="AE280" s="80" t="str">
        <f>HYPERLINK("https://twitter.com/eduardo_mp28/status/1662250231931568129")</f>
        <v>https://twitter.com/eduardo_mp28/status/1662250231931568129</v>
      </c>
      <c r="AF280" s="79">
        <v>45073.008252314816</v>
      </c>
      <c r="AG280" s="85">
        <v>45073</v>
      </c>
      <c r="AH280" s="82" t="s">
        <v>3036</v>
      </c>
      <c r="AI280" s="77" t="b">
        <v>0</v>
      </c>
      <c r="AJ280" s="77"/>
      <c r="AK280" s="77"/>
      <c r="AL280" s="77"/>
      <c r="AM280" s="77"/>
      <c r="AN280" s="77"/>
      <c r="AO280" s="77"/>
      <c r="AP280" s="77"/>
      <c r="AQ280" s="77" t="s">
        <v>4034</v>
      </c>
      <c r="AR280" s="77">
        <v>14933</v>
      </c>
      <c r="AS280" s="77"/>
      <c r="AT280" s="77"/>
      <c r="AU280" s="77"/>
      <c r="AV280" s="80" t="str">
        <f>HYPERLINK("https://pbs.twimg.com/ext_tw_video_thumb/1662250190684803073/pu/img/i_TG5xabSN2RcJA2.jpg")</f>
        <v>https://pbs.twimg.com/ext_tw_video_thumb/1662250190684803073/pu/img/i_TG5xabSN2RcJA2.jpg</v>
      </c>
      <c r="AW280" s="82" t="s">
        <v>4614</v>
      </c>
      <c r="AX280" s="82" t="s">
        <v>4614</v>
      </c>
      <c r="AY280" s="77"/>
      <c r="AZ280" s="82" t="s">
        <v>5615</v>
      </c>
      <c r="BA280" s="82" t="s">
        <v>5615</v>
      </c>
      <c r="BB280" s="82" t="s">
        <v>5615</v>
      </c>
      <c r="BC280" s="82" t="s">
        <v>4614</v>
      </c>
      <c r="BD280" s="82" t="s">
        <v>5932</v>
      </c>
      <c r="BE280" s="77"/>
      <c r="BF280" s="77"/>
      <c r="BG280" s="77"/>
      <c r="BH280" s="77"/>
      <c r="BI280" s="77"/>
    </row>
    <row r="281" spans="1:61" x14ac:dyDescent="0.25">
      <c r="A281" s="62" t="s">
        <v>330</v>
      </c>
      <c r="B281" s="62" t="s">
        <v>330</v>
      </c>
      <c r="C281" s="63"/>
      <c r="D281" s="64"/>
      <c r="E281" s="65"/>
      <c r="F281" s="66"/>
      <c r="G281" s="63"/>
      <c r="H281" s="67"/>
      <c r="I281" s="68"/>
      <c r="J281" s="68"/>
      <c r="K281" s="32"/>
      <c r="L281" s="75">
        <v>281</v>
      </c>
      <c r="M281" s="75"/>
      <c r="N281" s="70"/>
      <c r="O281" s="77" t="s">
        <v>179</v>
      </c>
      <c r="P281" s="79">
        <v>45030.034432870372</v>
      </c>
      <c r="Q281" s="77" t="s">
        <v>863</v>
      </c>
      <c r="R281" s="77">
        <v>1</v>
      </c>
      <c r="S281" s="77">
        <v>1</v>
      </c>
      <c r="T281" s="77">
        <v>1</v>
      </c>
      <c r="U281" s="77">
        <v>0</v>
      </c>
      <c r="V281" s="77">
        <v>125</v>
      </c>
      <c r="W281" s="82" t="s">
        <v>1706</v>
      </c>
      <c r="X281" s="77"/>
      <c r="Y281" s="77"/>
      <c r="Z281" s="77"/>
      <c r="AA281" s="77"/>
      <c r="AB281" s="77"/>
      <c r="AC281" s="82" t="s">
        <v>2719</v>
      </c>
      <c r="AD281" s="77" t="s">
        <v>2752</v>
      </c>
      <c r="AE281" s="80" t="str">
        <f>HYPERLINK("https://twitter.com/rodlrod/status/1646677042002362368")</f>
        <v>https://twitter.com/rodlrod/status/1646677042002362368</v>
      </c>
      <c r="AF281" s="79">
        <v>45030.034432870372</v>
      </c>
      <c r="AG281" s="85">
        <v>45030</v>
      </c>
      <c r="AH281" s="82" t="s">
        <v>3037</v>
      </c>
      <c r="AI281" s="77"/>
      <c r="AJ281" s="77" t="s">
        <v>3737</v>
      </c>
      <c r="AK281" s="77" t="s">
        <v>3752</v>
      </c>
      <c r="AL281" s="77" t="s">
        <v>3755</v>
      </c>
      <c r="AM281" s="77" t="s">
        <v>3761</v>
      </c>
      <c r="AN281" s="77" t="s">
        <v>3777</v>
      </c>
      <c r="AO281" s="77" t="s">
        <v>3795</v>
      </c>
      <c r="AP281" s="77" t="s">
        <v>3808</v>
      </c>
      <c r="AQ281" s="77"/>
      <c r="AR281" s="77"/>
      <c r="AS281" s="77"/>
      <c r="AT281" s="77"/>
      <c r="AU281" s="77"/>
      <c r="AV281" s="80" t="str">
        <f>HYPERLINK("https://pbs.twimg.com/profile_images/1443312139167481866/j9R0NjYT_normal.jpg")</f>
        <v>https://pbs.twimg.com/profile_images/1443312139167481866/j9R0NjYT_normal.jpg</v>
      </c>
      <c r="AW281" s="82" t="s">
        <v>4615</v>
      </c>
      <c r="AX281" s="82" t="s">
        <v>4615</v>
      </c>
      <c r="AY281" s="77"/>
      <c r="AZ281" s="82" t="s">
        <v>5615</v>
      </c>
      <c r="BA281" s="82" t="s">
        <v>5615</v>
      </c>
      <c r="BB281" s="82" t="s">
        <v>5615</v>
      </c>
      <c r="BC281" s="82" t="s">
        <v>4615</v>
      </c>
      <c r="BD281" s="77">
        <v>1575163700</v>
      </c>
      <c r="BE281" s="77"/>
      <c r="BF281" s="77"/>
      <c r="BG281" s="77"/>
      <c r="BH281" s="77"/>
      <c r="BI281" s="77"/>
    </row>
    <row r="282" spans="1:61" x14ac:dyDescent="0.25">
      <c r="A282" s="62" t="s">
        <v>331</v>
      </c>
      <c r="B282" s="62" t="s">
        <v>331</v>
      </c>
      <c r="C282" s="63"/>
      <c r="D282" s="64"/>
      <c r="E282" s="65"/>
      <c r="F282" s="66"/>
      <c r="G282" s="63"/>
      <c r="H282" s="67"/>
      <c r="I282" s="68"/>
      <c r="J282" s="68"/>
      <c r="K282" s="32"/>
      <c r="L282" s="75">
        <v>282</v>
      </c>
      <c r="M282" s="75"/>
      <c r="N282" s="70"/>
      <c r="O282" s="77" t="s">
        <v>179</v>
      </c>
      <c r="P282" s="79">
        <v>45058.874722222223</v>
      </c>
      <c r="Q282" s="77" t="s">
        <v>864</v>
      </c>
      <c r="R282" s="77">
        <v>0</v>
      </c>
      <c r="S282" s="77">
        <v>0</v>
      </c>
      <c r="T282" s="77">
        <v>0</v>
      </c>
      <c r="U282" s="77">
        <v>0</v>
      </c>
      <c r="V282" s="77">
        <v>20</v>
      </c>
      <c r="W282" s="82" t="s">
        <v>1707</v>
      </c>
      <c r="X282" s="80" t="str">
        <f>HYPERLINK("https://www.youtube.com/watch?v=lhE0jZhqsms&amp;t=1753s")</f>
        <v>https://www.youtube.com/watch?v=lhE0jZhqsms&amp;t=1753s</v>
      </c>
      <c r="Y282" s="77" t="s">
        <v>2140</v>
      </c>
      <c r="Z282" s="77"/>
      <c r="AA282" s="77"/>
      <c r="AB282" s="77"/>
      <c r="AC282" s="82" t="s">
        <v>2722</v>
      </c>
      <c r="AD282" s="77" t="s">
        <v>2752</v>
      </c>
      <c r="AE282" s="80" t="str">
        <f>HYPERLINK("https://twitter.com/sigler_marcia/status/1657128415772770306")</f>
        <v>https://twitter.com/sigler_marcia/status/1657128415772770306</v>
      </c>
      <c r="AF282" s="79">
        <v>45058.874722222223</v>
      </c>
      <c r="AG282" s="85">
        <v>45058</v>
      </c>
      <c r="AH282" s="82" t="s">
        <v>3038</v>
      </c>
      <c r="AI282" s="77" t="b">
        <v>0</v>
      </c>
      <c r="AJ282" s="77"/>
      <c r="AK282" s="77"/>
      <c r="AL282" s="77"/>
      <c r="AM282" s="77"/>
      <c r="AN282" s="77"/>
      <c r="AO282" s="77"/>
      <c r="AP282" s="77"/>
      <c r="AQ282" s="77"/>
      <c r="AR282" s="77"/>
      <c r="AS282" s="77"/>
      <c r="AT282" s="77"/>
      <c r="AU282" s="77"/>
      <c r="AV282" s="80" t="str">
        <f>HYPERLINK("https://pbs.twimg.com/profile_images/1689377510700584960/POq7HoEV_normal.jpg")</f>
        <v>https://pbs.twimg.com/profile_images/1689377510700584960/POq7HoEV_normal.jpg</v>
      </c>
      <c r="AW282" s="82" t="s">
        <v>4616</v>
      </c>
      <c r="AX282" s="82" t="s">
        <v>4616</v>
      </c>
      <c r="AY282" s="77"/>
      <c r="AZ282" s="82" t="s">
        <v>5615</v>
      </c>
      <c r="BA282" s="82" t="s">
        <v>5615</v>
      </c>
      <c r="BB282" s="82" t="s">
        <v>5615</v>
      </c>
      <c r="BC282" s="82" t="s">
        <v>4616</v>
      </c>
      <c r="BD282" s="82" t="s">
        <v>5933</v>
      </c>
      <c r="BE282" s="77"/>
      <c r="BF282" s="77"/>
      <c r="BG282" s="77"/>
      <c r="BH282" s="77"/>
      <c r="BI282" s="77"/>
    </row>
    <row r="283" spans="1:61" x14ac:dyDescent="0.25">
      <c r="A283" s="62" t="s">
        <v>331</v>
      </c>
      <c r="B283" s="62" t="s">
        <v>331</v>
      </c>
      <c r="C283" s="63"/>
      <c r="D283" s="64"/>
      <c r="E283" s="65"/>
      <c r="F283" s="66"/>
      <c r="G283" s="63"/>
      <c r="H283" s="67"/>
      <c r="I283" s="68"/>
      <c r="J283" s="68"/>
      <c r="K283" s="32"/>
      <c r="L283" s="75">
        <v>283</v>
      </c>
      <c r="M283" s="75"/>
      <c r="N283" s="70"/>
      <c r="O283" s="77" t="s">
        <v>179</v>
      </c>
      <c r="P283" s="79">
        <v>45094.752222222225</v>
      </c>
      <c r="Q283" s="77" t="s">
        <v>865</v>
      </c>
      <c r="R283" s="77">
        <v>0</v>
      </c>
      <c r="S283" s="77">
        <v>0</v>
      </c>
      <c r="T283" s="77">
        <v>0</v>
      </c>
      <c r="U283" s="77">
        <v>0</v>
      </c>
      <c r="V283" s="77">
        <v>20</v>
      </c>
      <c r="W283" s="82" t="s">
        <v>1708</v>
      </c>
      <c r="X283" s="77" t="s">
        <v>2121</v>
      </c>
      <c r="Y283" s="77" t="s">
        <v>2149</v>
      </c>
      <c r="Z283" s="77"/>
      <c r="AA283" s="77"/>
      <c r="AB283" s="77"/>
      <c r="AC283" s="82" t="s">
        <v>2722</v>
      </c>
      <c r="AD283" s="77" t="s">
        <v>2753</v>
      </c>
      <c r="AE283" s="80" t="str">
        <f>HYPERLINK("https://twitter.com/sigler_marcia/status/1670129986001424385")</f>
        <v>https://twitter.com/sigler_marcia/status/1670129986001424385</v>
      </c>
      <c r="AF283" s="79">
        <v>45094.752222222225</v>
      </c>
      <c r="AG283" s="85">
        <v>45094</v>
      </c>
      <c r="AH283" s="82" t="s">
        <v>3039</v>
      </c>
      <c r="AI283" s="77" t="b">
        <v>0</v>
      </c>
      <c r="AJ283" s="77"/>
      <c r="AK283" s="77"/>
      <c r="AL283" s="77"/>
      <c r="AM283" s="77"/>
      <c r="AN283" s="77"/>
      <c r="AO283" s="77"/>
      <c r="AP283" s="77"/>
      <c r="AQ283" s="77"/>
      <c r="AR283" s="77"/>
      <c r="AS283" s="77"/>
      <c r="AT283" s="77"/>
      <c r="AU283" s="77"/>
      <c r="AV283" s="80" t="str">
        <f>HYPERLINK("https://pbs.twimg.com/profile_images/1689377510700584960/POq7HoEV_normal.jpg")</f>
        <v>https://pbs.twimg.com/profile_images/1689377510700584960/POq7HoEV_normal.jpg</v>
      </c>
      <c r="AW283" s="82" t="s">
        <v>4617</v>
      </c>
      <c r="AX283" s="82" t="s">
        <v>4617</v>
      </c>
      <c r="AY283" s="77"/>
      <c r="AZ283" s="82" t="s">
        <v>5615</v>
      </c>
      <c r="BA283" s="82" t="s">
        <v>5615</v>
      </c>
      <c r="BB283" s="82" t="s">
        <v>5615</v>
      </c>
      <c r="BC283" s="82" t="s">
        <v>4617</v>
      </c>
      <c r="BD283" s="82" t="s">
        <v>5933</v>
      </c>
      <c r="BE283" s="77"/>
      <c r="BF283" s="77"/>
      <c r="BG283" s="77"/>
      <c r="BH283" s="77"/>
      <c r="BI283" s="77"/>
    </row>
    <row r="284" spans="1:61" x14ac:dyDescent="0.25">
      <c r="A284" s="62" t="s">
        <v>331</v>
      </c>
      <c r="B284" s="62" t="s">
        <v>331</v>
      </c>
      <c r="C284" s="63"/>
      <c r="D284" s="64"/>
      <c r="E284" s="65"/>
      <c r="F284" s="66"/>
      <c r="G284" s="63"/>
      <c r="H284" s="67"/>
      <c r="I284" s="68"/>
      <c r="J284" s="68"/>
      <c r="K284" s="32"/>
      <c r="L284" s="75">
        <v>284</v>
      </c>
      <c r="M284" s="75"/>
      <c r="N284" s="70"/>
      <c r="O284" s="77" t="s">
        <v>179</v>
      </c>
      <c r="P284" s="79">
        <v>45120.131805555553</v>
      </c>
      <c r="Q284" s="77" t="s">
        <v>866</v>
      </c>
      <c r="R284" s="77">
        <v>0</v>
      </c>
      <c r="S284" s="77">
        <v>0</v>
      </c>
      <c r="T284" s="77">
        <v>0</v>
      </c>
      <c r="U284" s="77">
        <v>0</v>
      </c>
      <c r="V284" s="77">
        <v>33</v>
      </c>
      <c r="W284" s="82" t="s">
        <v>1709</v>
      </c>
      <c r="X284" s="80" t="str">
        <f>HYPERLINK("https://www.youtube.com/watch?v=NOvnCmHVpxc&amp;t=2606s")</f>
        <v>https://www.youtube.com/watch?v=NOvnCmHVpxc&amp;t=2606s</v>
      </c>
      <c r="Y284" s="77" t="s">
        <v>2140</v>
      </c>
      <c r="Z284" s="77"/>
      <c r="AA284" s="77"/>
      <c r="AB284" s="77"/>
      <c r="AC284" s="82" t="s">
        <v>2722</v>
      </c>
      <c r="AD284" s="77" t="s">
        <v>2753</v>
      </c>
      <c r="AE284" s="80" t="str">
        <f>HYPERLINK("https://twitter.com/sigler_marcia/status/1679327237068279810")</f>
        <v>https://twitter.com/sigler_marcia/status/1679327237068279810</v>
      </c>
      <c r="AF284" s="79">
        <v>45120.131805555553</v>
      </c>
      <c r="AG284" s="85">
        <v>45120</v>
      </c>
      <c r="AH284" s="82" t="s">
        <v>3040</v>
      </c>
      <c r="AI284" s="77" t="b">
        <v>0</v>
      </c>
      <c r="AJ284" s="77"/>
      <c r="AK284" s="77"/>
      <c r="AL284" s="77"/>
      <c r="AM284" s="77"/>
      <c r="AN284" s="77"/>
      <c r="AO284" s="77"/>
      <c r="AP284" s="77"/>
      <c r="AQ284" s="77"/>
      <c r="AR284" s="77"/>
      <c r="AS284" s="77"/>
      <c r="AT284" s="77"/>
      <c r="AU284" s="77"/>
      <c r="AV284" s="80" t="str">
        <f>HYPERLINK("https://pbs.twimg.com/profile_images/1689377510700584960/POq7HoEV_normal.jpg")</f>
        <v>https://pbs.twimg.com/profile_images/1689377510700584960/POq7HoEV_normal.jpg</v>
      </c>
      <c r="AW284" s="82" t="s">
        <v>4618</v>
      </c>
      <c r="AX284" s="82" t="s">
        <v>4618</v>
      </c>
      <c r="AY284" s="77"/>
      <c r="AZ284" s="82" t="s">
        <v>5615</v>
      </c>
      <c r="BA284" s="82" t="s">
        <v>5615</v>
      </c>
      <c r="BB284" s="82" t="s">
        <v>5615</v>
      </c>
      <c r="BC284" s="82" t="s">
        <v>4618</v>
      </c>
      <c r="BD284" s="82" t="s">
        <v>5933</v>
      </c>
      <c r="BE284" s="77"/>
      <c r="BF284" s="77"/>
      <c r="BG284" s="77"/>
      <c r="BH284" s="77"/>
      <c r="BI284" s="77"/>
    </row>
    <row r="285" spans="1:61" x14ac:dyDescent="0.25">
      <c r="A285" s="62" t="s">
        <v>331</v>
      </c>
      <c r="B285" s="62" t="s">
        <v>331</v>
      </c>
      <c r="C285" s="63"/>
      <c r="D285" s="64"/>
      <c r="E285" s="65"/>
      <c r="F285" s="66"/>
      <c r="G285" s="63"/>
      <c r="H285" s="67"/>
      <c r="I285" s="68"/>
      <c r="J285" s="68"/>
      <c r="K285" s="32"/>
      <c r="L285" s="75">
        <v>285</v>
      </c>
      <c r="M285" s="75"/>
      <c r="N285" s="70"/>
      <c r="O285" s="77" t="s">
        <v>179</v>
      </c>
      <c r="P285" s="79">
        <v>45146.862256944441</v>
      </c>
      <c r="Q285" s="77" t="s">
        <v>867</v>
      </c>
      <c r="R285" s="77">
        <v>0</v>
      </c>
      <c r="S285" s="77">
        <v>0</v>
      </c>
      <c r="T285" s="77">
        <v>0</v>
      </c>
      <c r="U285" s="77">
        <v>0</v>
      </c>
      <c r="V285" s="77">
        <v>75</v>
      </c>
      <c r="W285" s="82" t="s">
        <v>1710</v>
      </c>
      <c r="X285" s="77"/>
      <c r="Y285" s="77"/>
      <c r="Z285" s="77"/>
      <c r="AA285" s="77" t="s">
        <v>2409</v>
      </c>
      <c r="AB285" s="77" t="s">
        <v>2714</v>
      </c>
      <c r="AC285" s="82" t="s">
        <v>2722</v>
      </c>
      <c r="AD285" s="77" t="s">
        <v>2753</v>
      </c>
      <c r="AE285" s="80" t="str">
        <f>HYPERLINK("https://twitter.com/sigler_marcia/status/1689014029170122753")</f>
        <v>https://twitter.com/sigler_marcia/status/1689014029170122753</v>
      </c>
      <c r="AF285" s="79">
        <v>45146.862256944441</v>
      </c>
      <c r="AG285" s="85">
        <v>45146</v>
      </c>
      <c r="AH285" s="82" t="s">
        <v>3041</v>
      </c>
      <c r="AI285" s="77" t="b">
        <v>0</v>
      </c>
      <c r="AJ285" s="77"/>
      <c r="AK285" s="77"/>
      <c r="AL285" s="77"/>
      <c r="AM285" s="77"/>
      <c r="AN285" s="77"/>
      <c r="AO285" s="77"/>
      <c r="AP285" s="77"/>
      <c r="AQ285" s="77" t="s">
        <v>4035</v>
      </c>
      <c r="AR285" s="77"/>
      <c r="AS285" s="77"/>
      <c r="AT285" s="77"/>
      <c r="AU285" s="77"/>
      <c r="AV285" s="80" t="str">
        <f>HYPERLINK("https://pbs.twimg.com/media/F3CU9llWQAAOpmL.jpg")</f>
        <v>https://pbs.twimg.com/media/F3CU9llWQAAOpmL.jpg</v>
      </c>
      <c r="AW285" s="82" t="s">
        <v>4619</v>
      </c>
      <c r="AX285" s="82" t="s">
        <v>4619</v>
      </c>
      <c r="AY285" s="77"/>
      <c r="AZ285" s="82" t="s">
        <v>5615</v>
      </c>
      <c r="BA285" s="82" t="s">
        <v>5615</v>
      </c>
      <c r="BB285" s="82" t="s">
        <v>5615</v>
      </c>
      <c r="BC285" s="82" t="s">
        <v>4619</v>
      </c>
      <c r="BD285" s="82" t="s">
        <v>5933</v>
      </c>
      <c r="BE285" s="77"/>
      <c r="BF285" s="77"/>
      <c r="BG285" s="77"/>
      <c r="BH285" s="77"/>
      <c r="BI285" s="77"/>
    </row>
    <row r="286" spans="1:61" x14ac:dyDescent="0.25">
      <c r="A286" s="62" t="s">
        <v>332</v>
      </c>
      <c r="B286" s="62" t="s">
        <v>332</v>
      </c>
      <c r="C286" s="63"/>
      <c r="D286" s="64"/>
      <c r="E286" s="65"/>
      <c r="F286" s="66"/>
      <c r="G286" s="63"/>
      <c r="H286" s="67"/>
      <c r="I286" s="68"/>
      <c r="J286" s="68"/>
      <c r="K286" s="32"/>
      <c r="L286" s="75">
        <v>286</v>
      </c>
      <c r="M286" s="75"/>
      <c r="N286" s="70"/>
      <c r="O286" s="77" t="s">
        <v>179</v>
      </c>
      <c r="P286" s="79">
        <v>44985.602951388886</v>
      </c>
      <c r="Q286" s="77" t="s">
        <v>868</v>
      </c>
      <c r="R286" s="77">
        <v>0</v>
      </c>
      <c r="S286" s="77">
        <v>0</v>
      </c>
      <c r="T286" s="77">
        <v>1</v>
      </c>
      <c r="U286" s="77">
        <v>0</v>
      </c>
      <c r="V286" s="77">
        <v>28</v>
      </c>
      <c r="W286" s="82" t="s">
        <v>1711</v>
      </c>
      <c r="X286" s="77"/>
      <c r="Y286" s="77"/>
      <c r="Z286" s="77"/>
      <c r="AA286" s="77" t="s">
        <v>2410</v>
      </c>
      <c r="AB286" s="77" t="s">
        <v>2714</v>
      </c>
      <c r="AC286" s="82" t="s">
        <v>2722</v>
      </c>
      <c r="AD286" s="77" t="s">
        <v>2752</v>
      </c>
      <c r="AE286" s="80" t="str">
        <f>HYPERLINK("https://twitter.com/comoreinventar/status/1630575612346630144")</f>
        <v>https://twitter.com/comoreinventar/status/1630575612346630144</v>
      </c>
      <c r="AF286" s="79">
        <v>44985.602951388886</v>
      </c>
      <c r="AG286" s="85">
        <v>44985</v>
      </c>
      <c r="AH286" s="82" t="s">
        <v>3042</v>
      </c>
      <c r="AI286" s="77" t="b">
        <v>0</v>
      </c>
      <c r="AJ286" s="77"/>
      <c r="AK286" s="77"/>
      <c r="AL286" s="77"/>
      <c r="AM286" s="77"/>
      <c r="AN286" s="77"/>
      <c r="AO286" s="77"/>
      <c r="AP286" s="77"/>
      <c r="AQ286" s="77" t="s">
        <v>4036</v>
      </c>
      <c r="AR286" s="77"/>
      <c r="AS286" s="77"/>
      <c r="AT286" s="77"/>
      <c r="AU286" s="77"/>
      <c r="AV286" s="80" t="str">
        <f>HYPERLINK("https://pbs.twimg.com/media/FqD1J5JXwAAIBXu.png")</f>
        <v>https://pbs.twimg.com/media/FqD1J5JXwAAIBXu.png</v>
      </c>
      <c r="AW286" s="82" t="s">
        <v>4620</v>
      </c>
      <c r="AX286" s="82" t="s">
        <v>4620</v>
      </c>
      <c r="AY286" s="77"/>
      <c r="AZ286" s="82" t="s">
        <v>5615</v>
      </c>
      <c r="BA286" s="82" t="s">
        <v>5615</v>
      </c>
      <c r="BB286" s="82" t="s">
        <v>5615</v>
      </c>
      <c r="BC286" s="82" t="s">
        <v>4620</v>
      </c>
      <c r="BD286" s="82" t="s">
        <v>5934</v>
      </c>
      <c r="BE286" s="77"/>
      <c r="BF286" s="77"/>
      <c r="BG286" s="77"/>
      <c r="BH286" s="77"/>
      <c r="BI286" s="77"/>
    </row>
    <row r="287" spans="1:61" x14ac:dyDescent="0.25">
      <c r="A287" s="62" t="s">
        <v>333</v>
      </c>
      <c r="B287" s="62" t="s">
        <v>567</v>
      </c>
      <c r="C287" s="63"/>
      <c r="D287" s="64"/>
      <c r="E287" s="65"/>
      <c r="F287" s="66"/>
      <c r="G287" s="63"/>
      <c r="H287" s="67"/>
      <c r="I287" s="68"/>
      <c r="J287" s="68"/>
      <c r="K287" s="32"/>
      <c r="L287" s="75">
        <v>287</v>
      </c>
      <c r="M287" s="75"/>
      <c r="N287" s="70"/>
      <c r="O287" s="77" t="s">
        <v>586</v>
      </c>
      <c r="P287" s="79">
        <v>45113.519641203704</v>
      </c>
      <c r="Q287" s="77" t="s">
        <v>869</v>
      </c>
      <c r="R287" s="77">
        <v>0</v>
      </c>
      <c r="S287" s="77">
        <v>0</v>
      </c>
      <c r="T287" s="77">
        <v>0</v>
      </c>
      <c r="U287" s="77">
        <v>0</v>
      </c>
      <c r="V287" s="77">
        <v>6</v>
      </c>
      <c r="W287" s="82" t="s">
        <v>1712</v>
      </c>
      <c r="X287" s="77" t="s">
        <v>2122</v>
      </c>
      <c r="Y287" s="77" t="s">
        <v>2150</v>
      </c>
      <c r="Z287" s="77" t="s">
        <v>567</v>
      </c>
      <c r="AA287" s="77"/>
      <c r="AB287" s="77"/>
      <c r="AC287" s="82" t="s">
        <v>2722</v>
      </c>
      <c r="AD287" s="77" t="s">
        <v>2752</v>
      </c>
      <c r="AE287" s="80" t="str">
        <f>HYPERLINK("https://twitter.com/pammalpari/status/1676931071429029889")</f>
        <v>https://twitter.com/pammalpari/status/1676931071429029889</v>
      </c>
      <c r="AF287" s="79">
        <v>45113.519641203704</v>
      </c>
      <c r="AG287" s="85">
        <v>45113</v>
      </c>
      <c r="AH287" s="82" t="s">
        <v>3043</v>
      </c>
      <c r="AI287" s="77" t="b">
        <v>0</v>
      </c>
      <c r="AJ287" s="77"/>
      <c r="AK287" s="77"/>
      <c r="AL287" s="77"/>
      <c r="AM287" s="77"/>
      <c r="AN287" s="77"/>
      <c r="AO287" s="77"/>
      <c r="AP287" s="77"/>
      <c r="AQ287" s="77"/>
      <c r="AR287" s="77"/>
      <c r="AS287" s="77"/>
      <c r="AT287" s="77"/>
      <c r="AU287" s="77"/>
      <c r="AV287" s="80" t="str">
        <f>HYPERLINK("https://pbs.twimg.com/profile_images/1670472902548881408/53JoE7v2_normal.jpg")</f>
        <v>https://pbs.twimg.com/profile_images/1670472902548881408/53JoE7v2_normal.jpg</v>
      </c>
      <c r="AW287" s="82" t="s">
        <v>4621</v>
      </c>
      <c r="AX287" s="82" t="s">
        <v>4621</v>
      </c>
      <c r="AY287" s="77"/>
      <c r="AZ287" s="82" t="s">
        <v>5615</v>
      </c>
      <c r="BA287" s="82" t="s">
        <v>5615</v>
      </c>
      <c r="BB287" s="82" t="s">
        <v>5615</v>
      </c>
      <c r="BC287" s="82" t="s">
        <v>4621</v>
      </c>
      <c r="BD287" s="82" t="s">
        <v>5935</v>
      </c>
      <c r="BE287" s="77"/>
      <c r="BF287" s="77"/>
      <c r="BG287" s="77"/>
      <c r="BH287" s="77"/>
      <c r="BI287" s="77"/>
    </row>
    <row r="288" spans="1:61" x14ac:dyDescent="0.25">
      <c r="A288" s="62" t="s">
        <v>334</v>
      </c>
      <c r="B288" s="62" t="s">
        <v>334</v>
      </c>
      <c r="C288" s="63"/>
      <c r="D288" s="64"/>
      <c r="E288" s="65"/>
      <c r="F288" s="66"/>
      <c r="G288" s="63"/>
      <c r="H288" s="67"/>
      <c r="I288" s="68"/>
      <c r="J288" s="68"/>
      <c r="K288" s="32"/>
      <c r="L288" s="75">
        <v>288</v>
      </c>
      <c r="M288" s="75"/>
      <c r="N288" s="70"/>
      <c r="O288" s="77" t="s">
        <v>179</v>
      </c>
      <c r="P288" s="79">
        <v>45102.306608796294</v>
      </c>
      <c r="Q288" s="77" t="s">
        <v>870</v>
      </c>
      <c r="R288" s="77">
        <v>0</v>
      </c>
      <c r="S288" s="77">
        <v>0</v>
      </c>
      <c r="T288" s="77">
        <v>0</v>
      </c>
      <c r="U288" s="77">
        <v>0</v>
      </c>
      <c r="V288" s="77">
        <v>6</v>
      </c>
      <c r="W288" s="82" t="s">
        <v>1713</v>
      </c>
      <c r="X288" s="77"/>
      <c r="Y288" s="77"/>
      <c r="Z288" s="77"/>
      <c r="AA288" s="77" t="s">
        <v>2411</v>
      </c>
      <c r="AB288" s="77" t="s">
        <v>2714</v>
      </c>
      <c r="AC288" s="82" t="s">
        <v>2719</v>
      </c>
      <c r="AD288" s="77" t="s">
        <v>2752</v>
      </c>
      <c r="AE288" s="80" t="str">
        <f>HYPERLINK("https://twitter.com/juliomauriciojm/status/1672867600550723585")</f>
        <v>https://twitter.com/juliomauriciojm/status/1672867600550723585</v>
      </c>
      <c r="AF288" s="79">
        <v>45102.306608796294</v>
      </c>
      <c r="AG288" s="85">
        <v>45102</v>
      </c>
      <c r="AH288" s="82" t="s">
        <v>3044</v>
      </c>
      <c r="AI288" s="77" t="b">
        <v>0</v>
      </c>
      <c r="AJ288" s="77"/>
      <c r="AK288" s="77"/>
      <c r="AL288" s="77"/>
      <c r="AM288" s="77"/>
      <c r="AN288" s="77"/>
      <c r="AO288" s="77"/>
      <c r="AP288" s="77"/>
      <c r="AQ288" s="77" t="s">
        <v>4037</v>
      </c>
      <c r="AR288" s="77"/>
      <c r="AS288" s="77"/>
      <c r="AT288" s="77"/>
      <c r="AU288" s="77"/>
      <c r="AV288" s="80" t="str">
        <f>HYPERLINK("https://pbs.twimg.com/media/Fzc4MrUacAAavCU.jpg")</f>
        <v>https://pbs.twimg.com/media/Fzc4MrUacAAavCU.jpg</v>
      </c>
      <c r="AW288" s="82" t="s">
        <v>4622</v>
      </c>
      <c r="AX288" s="82" t="s">
        <v>4622</v>
      </c>
      <c r="AY288" s="77"/>
      <c r="AZ288" s="82" t="s">
        <v>5615</v>
      </c>
      <c r="BA288" s="82" t="s">
        <v>5615</v>
      </c>
      <c r="BB288" s="82" t="s">
        <v>5615</v>
      </c>
      <c r="BC288" s="82" t="s">
        <v>4622</v>
      </c>
      <c r="BD288" s="82" t="s">
        <v>5936</v>
      </c>
      <c r="BE288" s="77"/>
      <c r="BF288" s="77"/>
      <c r="BG288" s="77"/>
      <c r="BH288" s="77"/>
      <c r="BI288" s="77"/>
    </row>
    <row r="289" spans="1:61" x14ac:dyDescent="0.25">
      <c r="A289" s="62" t="s">
        <v>335</v>
      </c>
      <c r="B289" s="62" t="s">
        <v>335</v>
      </c>
      <c r="C289" s="63"/>
      <c r="D289" s="64"/>
      <c r="E289" s="65"/>
      <c r="F289" s="66"/>
      <c r="G289" s="63"/>
      <c r="H289" s="67"/>
      <c r="I289" s="68"/>
      <c r="J289" s="68"/>
      <c r="K289" s="32"/>
      <c r="L289" s="75">
        <v>289</v>
      </c>
      <c r="M289" s="75"/>
      <c r="N289" s="70"/>
      <c r="O289" s="77" t="s">
        <v>179</v>
      </c>
      <c r="P289" s="79">
        <v>45003.781307870369</v>
      </c>
      <c r="Q289" s="77" t="s">
        <v>871</v>
      </c>
      <c r="R289" s="77">
        <v>3</v>
      </c>
      <c r="S289" s="77">
        <v>33</v>
      </c>
      <c r="T289" s="77">
        <v>0</v>
      </c>
      <c r="U289" s="77">
        <v>1</v>
      </c>
      <c r="V289" s="77">
        <v>2135</v>
      </c>
      <c r="W289" s="82" t="s">
        <v>1563</v>
      </c>
      <c r="X289" s="77"/>
      <c r="Y289" s="77"/>
      <c r="Z289" s="77"/>
      <c r="AA289" s="77" t="s">
        <v>2412</v>
      </c>
      <c r="AB289" s="77" t="s">
        <v>2713</v>
      </c>
      <c r="AC289" s="82" t="s">
        <v>2722</v>
      </c>
      <c r="AD289" s="77" t="s">
        <v>2752</v>
      </c>
      <c r="AE289" s="80" t="str">
        <f>HYPERLINK("https://twitter.com/ibrahimalireal/status/1637163230866075648")</f>
        <v>https://twitter.com/ibrahimalireal/status/1637163230866075648</v>
      </c>
      <c r="AF289" s="79">
        <v>45003.781307870369</v>
      </c>
      <c r="AG289" s="85">
        <v>45003</v>
      </c>
      <c r="AH289" s="82" t="s">
        <v>3045</v>
      </c>
      <c r="AI289" s="77" t="b">
        <v>0</v>
      </c>
      <c r="AJ289" s="77"/>
      <c r="AK289" s="77"/>
      <c r="AL289" s="77"/>
      <c r="AM289" s="77"/>
      <c r="AN289" s="77"/>
      <c r="AO289" s="77"/>
      <c r="AP289" s="77"/>
      <c r="AQ289" s="77" t="s">
        <v>4038</v>
      </c>
      <c r="AR289" s="77">
        <v>52510</v>
      </c>
      <c r="AS289" s="77"/>
      <c r="AT289" s="77"/>
      <c r="AU289" s="77"/>
      <c r="AV289" s="80" t="str">
        <f>HYPERLINK("https://pbs.twimg.com/ext_tw_video_thumb/1637162484359626752/pu/img/l-DgrkAAIlbOdrXF.jpg")</f>
        <v>https://pbs.twimg.com/ext_tw_video_thumb/1637162484359626752/pu/img/l-DgrkAAIlbOdrXF.jpg</v>
      </c>
      <c r="AW289" s="82" t="s">
        <v>4623</v>
      </c>
      <c r="AX289" s="82" t="s">
        <v>4623</v>
      </c>
      <c r="AY289" s="77"/>
      <c r="AZ289" s="82" t="s">
        <v>5615</v>
      </c>
      <c r="BA289" s="82" t="s">
        <v>5615</v>
      </c>
      <c r="BB289" s="82" t="s">
        <v>5615</v>
      </c>
      <c r="BC289" s="82" t="s">
        <v>4623</v>
      </c>
      <c r="BD289" s="77">
        <v>2166630715</v>
      </c>
      <c r="BE289" s="77"/>
      <c r="BF289" s="77"/>
      <c r="BG289" s="77"/>
      <c r="BH289" s="77"/>
      <c r="BI289" s="77"/>
    </row>
    <row r="290" spans="1:61" x14ac:dyDescent="0.25">
      <c r="A290" s="62" t="s">
        <v>336</v>
      </c>
      <c r="B290" s="62" t="s">
        <v>336</v>
      </c>
      <c r="C290" s="63"/>
      <c r="D290" s="64"/>
      <c r="E290" s="65"/>
      <c r="F290" s="66"/>
      <c r="G290" s="63"/>
      <c r="H290" s="67"/>
      <c r="I290" s="68"/>
      <c r="J290" s="68"/>
      <c r="K290" s="32"/>
      <c r="L290" s="75">
        <v>290</v>
      </c>
      <c r="M290" s="75"/>
      <c r="N290" s="70"/>
      <c r="O290" s="77" t="s">
        <v>179</v>
      </c>
      <c r="P290" s="79">
        <v>44971.917384259257</v>
      </c>
      <c r="Q290" s="77" t="s">
        <v>872</v>
      </c>
      <c r="R290" s="77">
        <v>1</v>
      </c>
      <c r="S290" s="77">
        <v>25</v>
      </c>
      <c r="T290" s="77">
        <v>8</v>
      </c>
      <c r="U290" s="77">
        <v>0</v>
      </c>
      <c r="V290" s="77">
        <v>2946</v>
      </c>
      <c r="W290" s="82" t="s">
        <v>1714</v>
      </c>
      <c r="X290" s="77"/>
      <c r="Y290" s="77"/>
      <c r="Z290" s="77"/>
      <c r="AA290" s="77" t="s">
        <v>2413</v>
      </c>
      <c r="AB290" s="77" t="s">
        <v>2713</v>
      </c>
      <c r="AC290" s="82" t="s">
        <v>2721</v>
      </c>
      <c r="AD290" s="77" t="s">
        <v>2752</v>
      </c>
      <c r="AE290" s="80" t="str">
        <f>HYPERLINK("https://twitter.com/eddieoz/status/1625616128708845583")</f>
        <v>https://twitter.com/eddieoz/status/1625616128708845583</v>
      </c>
      <c r="AF290" s="79">
        <v>44971.917384259257</v>
      </c>
      <c r="AG290" s="85">
        <v>44971</v>
      </c>
      <c r="AH290" s="82" t="s">
        <v>3046</v>
      </c>
      <c r="AI290" s="77" t="b">
        <v>0</v>
      </c>
      <c r="AJ290" s="77"/>
      <c r="AK290" s="77"/>
      <c r="AL290" s="77"/>
      <c r="AM290" s="77"/>
      <c r="AN290" s="77"/>
      <c r="AO290" s="77"/>
      <c r="AP290" s="77"/>
      <c r="AQ290" s="77" t="s">
        <v>4039</v>
      </c>
      <c r="AR290" s="77">
        <v>42352</v>
      </c>
      <c r="AS290" s="77"/>
      <c r="AT290" s="77"/>
      <c r="AU290" s="77"/>
      <c r="AV290" s="80" t="str">
        <f>HYPERLINK("https://pbs.twimg.com/ext_tw_video_thumb/1625616038581641234/pu/img/gQUKwD8fdupUm8Jq.jpg")</f>
        <v>https://pbs.twimg.com/ext_tw_video_thumb/1625616038581641234/pu/img/gQUKwD8fdupUm8Jq.jpg</v>
      </c>
      <c r="AW290" s="82" t="s">
        <v>4624</v>
      </c>
      <c r="AX290" s="82" t="s">
        <v>4624</v>
      </c>
      <c r="AY290" s="77"/>
      <c r="AZ290" s="82" t="s">
        <v>5615</v>
      </c>
      <c r="BA290" s="82" t="s">
        <v>5615</v>
      </c>
      <c r="BB290" s="82" t="s">
        <v>5615</v>
      </c>
      <c r="BC290" s="82" t="s">
        <v>4624</v>
      </c>
      <c r="BD290" s="77">
        <v>27036444</v>
      </c>
      <c r="BE290" s="77"/>
      <c r="BF290" s="77"/>
      <c r="BG290" s="77"/>
      <c r="BH290" s="77"/>
      <c r="BI290" s="77"/>
    </row>
    <row r="291" spans="1:61" x14ac:dyDescent="0.25">
      <c r="A291" s="62" t="s">
        <v>337</v>
      </c>
      <c r="B291" s="62" t="s">
        <v>337</v>
      </c>
      <c r="C291" s="63"/>
      <c r="D291" s="64"/>
      <c r="E291" s="65"/>
      <c r="F291" s="66"/>
      <c r="G291" s="63"/>
      <c r="H291" s="67"/>
      <c r="I291" s="68"/>
      <c r="J291" s="68"/>
      <c r="K291" s="32"/>
      <c r="L291" s="75">
        <v>291</v>
      </c>
      <c r="M291" s="75"/>
      <c r="N291" s="70"/>
      <c r="O291" s="77" t="s">
        <v>179</v>
      </c>
      <c r="P291" s="79">
        <v>45029.519537037035</v>
      </c>
      <c r="Q291" s="77" t="s">
        <v>873</v>
      </c>
      <c r="R291" s="77">
        <v>0</v>
      </c>
      <c r="S291" s="77">
        <v>0</v>
      </c>
      <c r="T291" s="77">
        <v>0</v>
      </c>
      <c r="U291" s="77">
        <v>0</v>
      </c>
      <c r="V291" s="77">
        <v>8</v>
      </c>
      <c r="W291" s="82" t="s">
        <v>1715</v>
      </c>
      <c r="X291" s="77"/>
      <c r="Y291" s="77"/>
      <c r="Z291" s="77"/>
      <c r="AA291" s="77" t="s">
        <v>2414</v>
      </c>
      <c r="AB291" s="77" t="s">
        <v>2714</v>
      </c>
      <c r="AC291" s="82" t="s">
        <v>2722</v>
      </c>
      <c r="AD291" s="77" t="s">
        <v>2754</v>
      </c>
      <c r="AE291" s="80" t="str">
        <f>HYPERLINK("https://twitter.com/finvestmentor/status/1646490449090351104")</f>
        <v>https://twitter.com/finvestmentor/status/1646490449090351104</v>
      </c>
      <c r="AF291" s="79">
        <v>45029.519537037035</v>
      </c>
      <c r="AG291" s="85">
        <v>45029</v>
      </c>
      <c r="AH291" s="82" t="s">
        <v>3047</v>
      </c>
      <c r="AI291" s="77" t="b">
        <v>0</v>
      </c>
      <c r="AJ291" s="77"/>
      <c r="AK291" s="77"/>
      <c r="AL291" s="77"/>
      <c r="AM291" s="77"/>
      <c r="AN291" s="77"/>
      <c r="AO291" s="77"/>
      <c r="AP291" s="77"/>
      <c r="AQ291" s="77" t="s">
        <v>4040</v>
      </c>
      <c r="AR291" s="77"/>
      <c r="AS291" s="77"/>
      <c r="AT291" s="77"/>
      <c r="AU291" s="77"/>
      <c r="AV291" s="80" t="str">
        <f>HYPERLINK("https://pbs.twimg.com/media/FtmBiXHWIAERWdM.jpg")</f>
        <v>https://pbs.twimg.com/media/FtmBiXHWIAERWdM.jpg</v>
      </c>
      <c r="AW291" s="82" t="s">
        <v>4625</v>
      </c>
      <c r="AX291" s="82" t="s">
        <v>4625</v>
      </c>
      <c r="AY291" s="77"/>
      <c r="AZ291" s="82" t="s">
        <v>5615</v>
      </c>
      <c r="BA291" s="82" t="s">
        <v>5615</v>
      </c>
      <c r="BB291" s="82" t="s">
        <v>5615</v>
      </c>
      <c r="BC291" s="82" t="s">
        <v>4625</v>
      </c>
      <c r="BD291" s="82" t="s">
        <v>5937</v>
      </c>
      <c r="BE291" s="77"/>
      <c r="BF291" s="77"/>
      <c r="BG291" s="77"/>
      <c r="BH291" s="77"/>
      <c r="BI291" s="77"/>
    </row>
    <row r="292" spans="1:61" x14ac:dyDescent="0.25">
      <c r="A292" s="62" t="s">
        <v>338</v>
      </c>
      <c r="B292" s="62" t="s">
        <v>338</v>
      </c>
      <c r="C292" s="63"/>
      <c r="D292" s="64"/>
      <c r="E292" s="65"/>
      <c r="F292" s="66"/>
      <c r="G292" s="63"/>
      <c r="H292" s="67"/>
      <c r="I292" s="68"/>
      <c r="J292" s="68"/>
      <c r="K292" s="32"/>
      <c r="L292" s="75">
        <v>292</v>
      </c>
      <c r="M292" s="75"/>
      <c r="N292" s="70"/>
      <c r="O292" s="77" t="s">
        <v>179</v>
      </c>
      <c r="P292" s="79">
        <v>45048.810937499999</v>
      </c>
      <c r="Q292" s="77" t="s">
        <v>874</v>
      </c>
      <c r="R292" s="77">
        <v>0</v>
      </c>
      <c r="S292" s="77">
        <v>0</v>
      </c>
      <c r="T292" s="77">
        <v>0</v>
      </c>
      <c r="U292" s="77">
        <v>0</v>
      </c>
      <c r="V292" s="77">
        <v>17</v>
      </c>
      <c r="W292" s="82" t="s">
        <v>1563</v>
      </c>
      <c r="X292" s="77"/>
      <c r="Y292" s="77"/>
      <c r="Z292" s="77"/>
      <c r="AA292" s="77"/>
      <c r="AB292" s="77"/>
      <c r="AC292" s="82" t="s">
        <v>2719</v>
      </c>
      <c r="AD292" s="77" t="s">
        <v>2752</v>
      </c>
      <c r="AE292" s="80" t="str">
        <f>HYPERLINK("https://twitter.com/kevintirocerto/status/1653481420071870465")</f>
        <v>https://twitter.com/kevintirocerto/status/1653481420071870465</v>
      </c>
      <c r="AF292" s="79">
        <v>45048.810937499999</v>
      </c>
      <c r="AG292" s="85">
        <v>45048</v>
      </c>
      <c r="AH292" s="82" t="s">
        <v>3048</v>
      </c>
      <c r="AI292" s="77"/>
      <c r="AJ292" s="77"/>
      <c r="AK292" s="77"/>
      <c r="AL292" s="77"/>
      <c r="AM292" s="77"/>
      <c r="AN292" s="77"/>
      <c r="AO292" s="77"/>
      <c r="AP292" s="77"/>
      <c r="AQ292" s="77"/>
      <c r="AR292" s="77"/>
      <c r="AS292" s="77"/>
      <c r="AT292" s="77"/>
      <c r="AU292" s="77"/>
      <c r="AV292" s="80" t="str">
        <f>HYPERLINK("https://pbs.twimg.com/profile_images/1635494256583364609/ag1fGics_normal.jpg")</f>
        <v>https://pbs.twimg.com/profile_images/1635494256583364609/ag1fGics_normal.jpg</v>
      </c>
      <c r="AW292" s="82" t="s">
        <v>4626</v>
      </c>
      <c r="AX292" s="82" t="s">
        <v>4626</v>
      </c>
      <c r="AY292" s="77"/>
      <c r="AZ292" s="82" t="s">
        <v>5615</v>
      </c>
      <c r="BA292" s="82" t="s">
        <v>5615</v>
      </c>
      <c r="BB292" s="82" t="s">
        <v>5615</v>
      </c>
      <c r="BC292" s="82" t="s">
        <v>4626</v>
      </c>
      <c r="BD292" s="82" t="s">
        <v>5938</v>
      </c>
      <c r="BE292" s="77"/>
      <c r="BF292" s="77"/>
      <c r="BG292" s="77"/>
      <c r="BH292" s="77"/>
      <c r="BI292" s="77"/>
    </row>
    <row r="293" spans="1:61" x14ac:dyDescent="0.25">
      <c r="A293" s="62" t="s">
        <v>339</v>
      </c>
      <c r="B293" s="62" t="s">
        <v>339</v>
      </c>
      <c r="C293" s="63"/>
      <c r="D293" s="64"/>
      <c r="E293" s="65"/>
      <c r="F293" s="66"/>
      <c r="G293" s="63"/>
      <c r="H293" s="67"/>
      <c r="I293" s="68"/>
      <c r="J293" s="68"/>
      <c r="K293" s="32"/>
      <c r="L293" s="75">
        <v>293</v>
      </c>
      <c r="M293" s="75"/>
      <c r="N293" s="70"/>
      <c r="O293" s="77" t="s">
        <v>586</v>
      </c>
      <c r="P293" s="79">
        <v>44945.617199074077</v>
      </c>
      <c r="Q293" s="77" t="s">
        <v>875</v>
      </c>
      <c r="R293" s="77">
        <v>0</v>
      </c>
      <c r="S293" s="77">
        <v>0</v>
      </c>
      <c r="T293" s="77">
        <v>0</v>
      </c>
      <c r="U293" s="77">
        <v>0</v>
      </c>
      <c r="V293" s="77">
        <v>11</v>
      </c>
      <c r="W293" s="82" t="s">
        <v>1563</v>
      </c>
      <c r="X293" s="77"/>
      <c r="Y293" s="77"/>
      <c r="Z293" s="77" t="s">
        <v>339</v>
      </c>
      <c r="AA293" s="77" t="s">
        <v>2415</v>
      </c>
      <c r="AB293" s="77" t="s">
        <v>2714</v>
      </c>
      <c r="AC293" s="82" t="s">
        <v>2719</v>
      </c>
      <c r="AD293" s="77" t="s">
        <v>2752</v>
      </c>
      <c r="AE293" s="80" t="str">
        <f>HYPERLINK("https://twitter.com/wilsondesousa_/status/1616085262345588740")</f>
        <v>https://twitter.com/wilsondesousa_/status/1616085262345588740</v>
      </c>
      <c r="AF293" s="79">
        <v>44945.617199074077</v>
      </c>
      <c r="AG293" s="85">
        <v>44945</v>
      </c>
      <c r="AH293" s="82" t="s">
        <v>3049</v>
      </c>
      <c r="AI293" s="77" t="b">
        <v>0</v>
      </c>
      <c r="AJ293" s="77"/>
      <c r="AK293" s="77"/>
      <c r="AL293" s="77"/>
      <c r="AM293" s="77"/>
      <c r="AN293" s="77"/>
      <c r="AO293" s="77"/>
      <c r="AP293" s="77"/>
      <c r="AQ293" s="77" t="s">
        <v>4041</v>
      </c>
      <c r="AR293" s="77"/>
      <c r="AS293" s="77"/>
      <c r="AT293" s="77"/>
      <c r="AU293" s="77"/>
      <c r="AV293" s="80" t="str">
        <f>HYPERLINK("https://pbs.twimg.com/media/Fm18-z_X0AAP3f5.jpg")</f>
        <v>https://pbs.twimg.com/media/Fm18-z_X0AAP3f5.jpg</v>
      </c>
      <c r="AW293" s="82" t="s">
        <v>4627</v>
      </c>
      <c r="AX293" s="82" t="s">
        <v>4627</v>
      </c>
      <c r="AY293" s="77"/>
      <c r="AZ293" s="82" t="s">
        <v>5615</v>
      </c>
      <c r="BA293" s="82" t="s">
        <v>5615</v>
      </c>
      <c r="BB293" s="82" t="s">
        <v>5615</v>
      </c>
      <c r="BC293" s="82" t="s">
        <v>4627</v>
      </c>
      <c r="BD293" s="82" t="s">
        <v>5939</v>
      </c>
      <c r="BE293" s="77"/>
      <c r="BF293" s="77"/>
      <c r="BG293" s="77"/>
      <c r="BH293" s="77"/>
      <c r="BI293" s="77"/>
    </row>
    <row r="294" spans="1:61" x14ac:dyDescent="0.25">
      <c r="A294" s="62" t="s">
        <v>340</v>
      </c>
      <c r="B294" s="62" t="s">
        <v>340</v>
      </c>
      <c r="C294" s="63"/>
      <c r="D294" s="64"/>
      <c r="E294" s="65"/>
      <c r="F294" s="66"/>
      <c r="G294" s="63"/>
      <c r="H294" s="67"/>
      <c r="I294" s="68"/>
      <c r="J294" s="68"/>
      <c r="K294" s="32"/>
      <c r="L294" s="75">
        <v>294</v>
      </c>
      <c r="M294" s="75"/>
      <c r="N294" s="70"/>
      <c r="O294" s="77" t="s">
        <v>179</v>
      </c>
      <c r="P294" s="79">
        <v>45035.726701388892</v>
      </c>
      <c r="Q294" s="77" t="s">
        <v>876</v>
      </c>
      <c r="R294" s="77">
        <v>0</v>
      </c>
      <c r="S294" s="77">
        <v>0</v>
      </c>
      <c r="T294" s="77">
        <v>0</v>
      </c>
      <c r="U294" s="77">
        <v>0</v>
      </c>
      <c r="V294" s="77">
        <v>2</v>
      </c>
      <c r="W294" s="82" t="s">
        <v>1716</v>
      </c>
      <c r="X294" s="77"/>
      <c r="Y294" s="77"/>
      <c r="Z294" s="77"/>
      <c r="AA294" s="77" t="s">
        <v>2416</v>
      </c>
      <c r="AB294" s="77" t="s">
        <v>2714</v>
      </c>
      <c r="AC294" s="82" t="s">
        <v>2720</v>
      </c>
      <c r="AD294" s="77" t="s">
        <v>2752</v>
      </c>
      <c r="AE294" s="80" t="str">
        <f>HYPERLINK("https://twitter.com/bancoatitude/status/1648739851879972878")</f>
        <v>https://twitter.com/bancoatitude/status/1648739851879972878</v>
      </c>
      <c r="AF294" s="79">
        <v>45035.726701388892</v>
      </c>
      <c r="AG294" s="85">
        <v>45035</v>
      </c>
      <c r="AH294" s="82" t="s">
        <v>3050</v>
      </c>
      <c r="AI294" s="77" t="b">
        <v>0</v>
      </c>
      <c r="AJ294" s="77"/>
      <c r="AK294" s="77"/>
      <c r="AL294" s="77"/>
      <c r="AM294" s="77"/>
      <c r="AN294" s="77"/>
      <c r="AO294" s="77"/>
      <c r="AP294" s="77"/>
      <c r="AQ294" s="77" t="s">
        <v>4042</v>
      </c>
      <c r="AR294" s="77"/>
      <c r="AS294" s="77"/>
      <c r="AT294" s="77"/>
      <c r="AU294" s="77"/>
      <c r="AV294" s="80" t="str">
        <f>HYPERLINK("https://pbs.twimg.com/media/FuGAJ8dWABEqIwf.jpg")</f>
        <v>https://pbs.twimg.com/media/FuGAJ8dWABEqIwf.jpg</v>
      </c>
      <c r="AW294" s="82" t="s">
        <v>4628</v>
      </c>
      <c r="AX294" s="82" t="s">
        <v>4628</v>
      </c>
      <c r="AY294" s="77"/>
      <c r="AZ294" s="82" t="s">
        <v>5615</v>
      </c>
      <c r="BA294" s="82" t="s">
        <v>5615</v>
      </c>
      <c r="BB294" s="82" t="s">
        <v>5615</v>
      </c>
      <c r="BC294" s="82" t="s">
        <v>4628</v>
      </c>
      <c r="BD294" s="82" t="s">
        <v>5940</v>
      </c>
      <c r="BE294" s="77"/>
      <c r="BF294" s="77"/>
      <c r="BG294" s="77"/>
      <c r="BH294" s="77"/>
      <c r="BI294" s="77"/>
    </row>
    <row r="295" spans="1:61" x14ac:dyDescent="0.25">
      <c r="A295" s="62" t="s">
        <v>341</v>
      </c>
      <c r="B295" s="62" t="s">
        <v>341</v>
      </c>
      <c r="C295" s="63"/>
      <c r="D295" s="64"/>
      <c r="E295" s="65"/>
      <c r="F295" s="66"/>
      <c r="G295" s="63"/>
      <c r="H295" s="67"/>
      <c r="I295" s="68"/>
      <c r="J295" s="68"/>
      <c r="K295" s="32"/>
      <c r="L295" s="75">
        <v>295</v>
      </c>
      <c r="M295" s="75"/>
      <c r="N295" s="70"/>
      <c r="O295" s="77" t="s">
        <v>583</v>
      </c>
      <c r="P295" s="79">
        <v>45028.993298611109</v>
      </c>
      <c r="Q295" s="77" t="s">
        <v>877</v>
      </c>
      <c r="R295" s="77">
        <v>0</v>
      </c>
      <c r="S295" s="77">
        <v>4</v>
      </c>
      <c r="T295" s="77">
        <v>0</v>
      </c>
      <c r="U295" s="77">
        <v>0</v>
      </c>
      <c r="V295" s="77">
        <v>48</v>
      </c>
      <c r="W295" s="82" t="s">
        <v>1717</v>
      </c>
      <c r="X295" s="77"/>
      <c r="Y295" s="77"/>
      <c r="Z295" s="77"/>
      <c r="AA295" s="77"/>
      <c r="AB295" s="77"/>
      <c r="AC295" s="82" t="s">
        <v>2719</v>
      </c>
      <c r="AD295" s="77" t="s">
        <v>2752</v>
      </c>
      <c r="AE295" s="80" t="str">
        <f>HYPERLINK("https://twitter.com/barcecripto/status/1646299750075858946")</f>
        <v>https://twitter.com/barcecripto/status/1646299750075858946</v>
      </c>
      <c r="AF295" s="79">
        <v>45028.993298611109</v>
      </c>
      <c r="AG295" s="85">
        <v>45028</v>
      </c>
      <c r="AH295" s="82" t="s">
        <v>3051</v>
      </c>
      <c r="AI295" s="77"/>
      <c r="AJ295" s="77" t="s">
        <v>3738</v>
      </c>
      <c r="AK295" s="77" t="s">
        <v>3752</v>
      </c>
      <c r="AL295" s="77" t="s">
        <v>3755</v>
      </c>
      <c r="AM295" s="77" t="s">
        <v>3762</v>
      </c>
      <c r="AN295" s="77" t="s">
        <v>3778</v>
      </c>
      <c r="AO295" s="77" t="s">
        <v>3796</v>
      </c>
      <c r="AP295" s="77" t="s">
        <v>3808</v>
      </c>
      <c r="AQ295" s="77"/>
      <c r="AR295" s="77"/>
      <c r="AS295" s="77"/>
      <c r="AT295" s="77"/>
      <c r="AU295" s="77"/>
      <c r="AV295" s="80" t="str">
        <f>HYPERLINK("https://pbs.twimg.com/profile_images/1615695424265879552/BaZFnuIu_normal.jpg")</f>
        <v>https://pbs.twimg.com/profile_images/1615695424265879552/BaZFnuIu_normal.jpg</v>
      </c>
      <c r="AW295" s="82" t="s">
        <v>4629</v>
      </c>
      <c r="AX295" s="82" t="s">
        <v>5332</v>
      </c>
      <c r="AY295" s="82" t="s">
        <v>5585</v>
      </c>
      <c r="AZ295" s="82" t="s">
        <v>5621</v>
      </c>
      <c r="BA295" s="82" t="s">
        <v>5615</v>
      </c>
      <c r="BB295" s="82" t="s">
        <v>5615</v>
      </c>
      <c r="BC295" s="82" t="s">
        <v>5621</v>
      </c>
      <c r="BD295" s="82" t="s">
        <v>5585</v>
      </c>
      <c r="BE295" s="77"/>
      <c r="BF295" s="77"/>
      <c r="BG295" s="77"/>
      <c r="BH295" s="77"/>
      <c r="BI295" s="77"/>
    </row>
    <row r="296" spans="1:61" x14ac:dyDescent="0.25">
      <c r="A296" s="62" t="s">
        <v>342</v>
      </c>
      <c r="B296" s="62" t="s">
        <v>342</v>
      </c>
      <c r="C296" s="63"/>
      <c r="D296" s="64"/>
      <c r="E296" s="65"/>
      <c r="F296" s="66"/>
      <c r="G296" s="63"/>
      <c r="H296" s="67"/>
      <c r="I296" s="68"/>
      <c r="J296" s="68"/>
      <c r="K296" s="32"/>
      <c r="L296" s="75">
        <v>296</v>
      </c>
      <c r="M296" s="75"/>
      <c r="N296" s="70"/>
      <c r="O296" s="77" t="s">
        <v>179</v>
      </c>
      <c r="P296" s="79">
        <v>45055.38181712963</v>
      </c>
      <c r="Q296" s="77" t="s">
        <v>878</v>
      </c>
      <c r="R296" s="77">
        <v>0</v>
      </c>
      <c r="S296" s="77">
        <v>1</v>
      </c>
      <c r="T296" s="77">
        <v>0</v>
      </c>
      <c r="U296" s="77">
        <v>0</v>
      </c>
      <c r="V296" s="77">
        <v>26</v>
      </c>
      <c r="W296" s="82" t="s">
        <v>1718</v>
      </c>
      <c r="X296" s="80" t="str">
        <f>HYPERLINK("http://abre.ai/vendedor-automatico-automacoes")</f>
        <v>http://abre.ai/vendedor-automatico-automacoes</v>
      </c>
      <c r="Y296" s="77" t="s">
        <v>2151</v>
      </c>
      <c r="Z296" s="77"/>
      <c r="AA296" s="77" t="s">
        <v>2417</v>
      </c>
      <c r="AB296" s="77" t="s">
        <v>2714</v>
      </c>
      <c r="AC296" s="82" t="s">
        <v>2719</v>
      </c>
      <c r="AD296" s="77" t="s">
        <v>2752</v>
      </c>
      <c r="AE296" s="80" t="str">
        <f>HYPERLINK("https://twitter.com/juliana_perfil_/status/1655862626667180033")</f>
        <v>https://twitter.com/juliana_perfil_/status/1655862626667180033</v>
      </c>
      <c r="AF296" s="79">
        <v>45055.38181712963</v>
      </c>
      <c r="AG296" s="85">
        <v>45055</v>
      </c>
      <c r="AH296" s="82" t="s">
        <v>3052</v>
      </c>
      <c r="AI296" s="77" t="b">
        <v>0</v>
      </c>
      <c r="AJ296" s="77" t="s">
        <v>3739</v>
      </c>
      <c r="AK296" s="77" t="s">
        <v>3752</v>
      </c>
      <c r="AL296" s="77" t="s">
        <v>3755</v>
      </c>
      <c r="AM296" s="77" t="s">
        <v>3763</v>
      </c>
      <c r="AN296" s="77" t="s">
        <v>3779</v>
      </c>
      <c r="AO296" s="77" t="s">
        <v>3797</v>
      </c>
      <c r="AP296" s="77" t="s">
        <v>3809</v>
      </c>
      <c r="AQ296" s="77" t="s">
        <v>4043</v>
      </c>
      <c r="AR296" s="77"/>
      <c r="AS296" s="77"/>
      <c r="AT296" s="77"/>
      <c r="AU296" s="77"/>
      <c r="AV296" s="80" t="str">
        <f>HYPERLINK("https://pbs.twimg.com/media/FvrOSJRWwAAgBJK.jpg")</f>
        <v>https://pbs.twimg.com/media/FvrOSJRWwAAgBJK.jpg</v>
      </c>
      <c r="AW296" s="82" t="s">
        <v>4630</v>
      </c>
      <c r="AX296" s="82" t="s">
        <v>4630</v>
      </c>
      <c r="AY296" s="77"/>
      <c r="AZ296" s="82" t="s">
        <v>5615</v>
      </c>
      <c r="BA296" s="82" t="s">
        <v>5615</v>
      </c>
      <c r="BB296" s="82" t="s">
        <v>5615</v>
      </c>
      <c r="BC296" s="82" t="s">
        <v>4630</v>
      </c>
      <c r="BD296" s="77">
        <v>3297338187</v>
      </c>
      <c r="BE296" s="77"/>
      <c r="BF296" s="77"/>
      <c r="BG296" s="77"/>
      <c r="BH296" s="77"/>
      <c r="BI296" s="77"/>
    </row>
    <row r="297" spans="1:61" x14ac:dyDescent="0.25">
      <c r="A297" s="62" t="s">
        <v>342</v>
      </c>
      <c r="B297" s="62" t="s">
        <v>342</v>
      </c>
      <c r="C297" s="63"/>
      <c r="D297" s="64"/>
      <c r="E297" s="65"/>
      <c r="F297" s="66"/>
      <c r="G297" s="63"/>
      <c r="H297" s="67"/>
      <c r="I297" s="68"/>
      <c r="J297" s="68"/>
      <c r="K297" s="32"/>
      <c r="L297" s="75">
        <v>297</v>
      </c>
      <c r="M297" s="75"/>
      <c r="N297" s="70"/>
      <c r="O297" s="77" t="s">
        <v>179</v>
      </c>
      <c r="P297" s="79">
        <v>45048.040891203702</v>
      </c>
      <c r="Q297" s="77" t="s">
        <v>879</v>
      </c>
      <c r="R297" s="77">
        <v>0</v>
      </c>
      <c r="S297" s="77">
        <v>1</v>
      </c>
      <c r="T297" s="77">
        <v>0</v>
      </c>
      <c r="U297" s="77">
        <v>0</v>
      </c>
      <c r="V297" s="77">
        <v>25</v>
      </c>
      <c r="W297" s="82" t="s">
        <v>1719</v>
      </c>
      <c r="X297" s="77"/>
      <c r="Y297" s="77"/>
      <c r="Z297" s="77"/>
      <c r="AA297" s="77" t="s">
        <v>2418</v>
      </c>
      <c r="AB297" s="77" t="s">
        <v>2714</v>
      </c>
      <c r="AC297" s="82" t="s">
        <v>2719</v>
      </c>
      <c r="AD297" s="77" t="s">
        <v>2752</v>
      </c>
      <c r="AE297" s="80" t="str">
        <f>HYPERLINK("https://twitter.com/juliana_perfil_/status/1653202363371651072")</f>
        <v>https://twitter.com/juliana_perfil_/status/1653202363371651072</v>
      </c>
      <c r="AF297" s="79">
        <v>45048.040891203702</v>
      </c>
      <c r="AG297" s="85">
        <v>45048</v>
      </c>
      <c r="AH297" s="82" t="s">
        <v>3053</v>
      </c>
      <c r="AI297" s="77" t="b">
        <v>0</v>
      </c>
      <c r="AJ297" s="77"/>
      <c r="AK297" s="77"/>
      <c r="AL297" s="77"/>
      <c r="AM297" s="77"/>
      <c r="AN297" s="77"/>
      <c r="AO297" s="77"/>
      <c r="AP297" s="77"/>
      <c r="AQ297" s="77" t="s">
        <v>4044</v>
      </c>
      <c r="AR297" s="77"/>
      <c r="AS297" s="77"/>
      <c r="AT297" s="77"/>
      <c r="AU297" s="77"/>
      <c r="AV297" s="80" t="str">
        <f>HYPERLINK("https://pbs.twimg.com/media/FvFayYDXgAEhVJ-.jpg")</f>
        <v>https://pbs.twimg.com/media/FvFayYDXgAEhVJ-.jpg</v>
      </c>
      <c r="AW297" s="82" t="s">
        <v>4631</v>
      </c>
      <c r="AX297" s="82" t="s">
        <v>4631</v>
      </c>
      <c r="AY297" s="77"/>
      <c r="AZ297" s="82" t="s">
        <v>5615</v>
      </c>
      <c r="BA297" s="82" t="s">
        <v>5615</v>
      </c>
      <c r="BB297" s="82" t="s">
        <v>5615</v>
      </c>
      <c r="BC297" s="82" t="s">
        <v>4631</v>
      </c>
      <c r="BD297" s="77">
        <v>3297338187</v>
      </c>
      <c r="BE297" s="77"/>
      <c r="BF297" s="77"/>
      <c r="BG297" s="77"/>
      <c r="BH297" s="77"/>
      <c r="BI297" s="77"/>
    </row>
    <row r="298" spans="1:61" x14ac:dyDescent="0.25">
      <c r="A298" s="62" t="s">
        <v>343</v>
      </c>
      <c r="B298" s="62" t="s">
        <v>343</v>
      </c>
      <c r="C298" s="63"/>
      <c r="D298" s="64"/>
      <c r="E298" s="65"/>
      <c r="F298" s="66"/>
      <c r="G298" s="63"/>
      <c r="H298" s="67"/>
      <c r="I298" s="68"/>
      <c r="J298" s="68"/>
      <c r="K298" s="32"/>
      <c r="L298" s="75">
        <v>298</v>
      </c>
      <c r="M298" s="75"/>
      <c r="N298" s="70"/>
      <c r="O298" s="77" t="s">
        <v>179</v>
      </c>
      <c r="P298" s="79">
        <v>45190.791990740741</v>
      </c>
      <c r="Q298" s="77" t="s">
        <v>880</v>
      </c>
      <c r="R298" s="77">
        <v>0</v>
      </c>
      <c r="S298" s="77">
        <v>0</v>
      </c>
      <c r="T298" s="77">
        <v>0</v>
      </c>
      <c r="U298" s="77">
        <v>0</v>
      </c>
      <c r="V298" s="77">
        <v>130</v>
      </c>
      <c r="W298" s="82" t="s">
        <v>1720</v>
      </c>
      <c r="X298" s="77"/>
      <c r="Y298" s="77"/>
      <c r="Z298" s="77"/>
      <c r="AA298" s="77" t="s">
        <v>2419</v>
      </c>
      <c r="AB298" s="77" t="s">
        <v>2713</v>
      </c>
      <c r="AC298" s="82" t="s">
        <v>2719</v>
      </c>
      <c r="AD298" s="77" t="s">
        <v>2753</v>
      </c>
      <c r="AE298" s="80" t="str">
        <f>HYPERLINK("https://twitter.com/marcosacc27/status/1704933630013763810")</f>
        <v>https://twitter.com/marcosacc27/status/1704933630013763810</v>
      </c>
      <c r="AF298" s="79">
        <v>45190.791990740741</v>
      </c>
      <c r="AG298" s="85">
        <v>45190</v>
      </c>
      <c r="AH298" s="82" t="s">
        <v>3054</v>
      </c>
      <c r="AI298" s="77" t="b">
        <v>0</v>
      </c>
      <c r="AJ298" s="77"/>
      <c r="AK298" s="77"/>
      <c r="AL298" s="77"/>
      <c r="AM298" s="77"/>
      <c r="AN298" s="77"/>
      <c r="AO298" s="77"/>
      <c r="AP298" s="77"/>
      <c r="AQ298" s="77" t="s">
        <v>4045</v>
      </c>
      <c r="AR298" s="77">
        <v>121066</v>
      </c>
      <c r="AS298" s="77"/>
      <c r="AT298" s="77"/>
      <c r="AU298" s="77"/>
      <c r="AV298" s="80" t="str">
        <f>HYPERLINK("https://pbs.twimg.com/ext_tw_video_thumb/1704933593934364672/pu/img/OtqCE1q2DJeZ58mh.jpg")</f>
        <v>https://pbs.twimg.com/ext_tw_video_thumb/1704933593934364672/pu/img/OtqCE1q2DJeZ58mh.jpg</v>
      </c>
      <c r="AW298" s="82" t="s">
        <v>4632</v>
      </c>
      <c r="AX298" s="82" t="s">
        <v>4632</v>
      </c>
      <c r="AY298" s="77"/>
      <c r="AZ298" s="82" t="s">
        <v>5615</v>
      </c>
      <c r="BA298" s="82" t="s">
        <v>5615</v>
      </c>
      <c r="BB298" s="82" t="s">
        <v>5615</v>
      </c>
      <c r="BC298" s="82" t="s">
        <v>4632</v>
      </c>
      <c r="BD298" s="82" t="s">
        <v>5941</v>
      </c>
      <c r="BE298" s="77"/>
      <c r="BF298" s="77"/>
      <c r="BG298" s="77"/>
      <c r="BH298" s="77"/>
      <c r="BI298" s="77"/>
    </row>
    <row r="299" spans="1:61" x14ac:dyDescent="0.25">
      <c r="A299" s="62" t="s">
        <v>344</v>
      </c>
      <c r="B299" s="62" t="s">
        <v>344</v>
      </c>
      <c r="C299" s="63"/>
      <c r="D299" s="64"/>
      <c r="E299" s="65"/>
      <c r="F299" s="66"/>
      <c r="G299" s="63"/>
      <c r="H299" s="67"/>
      <c r="I299" s="68"/>
      <c r="J299" s="68"/>
      <c r="K299" s="32"/>
      <c r="L299" s="75">
        <v>299</v>
      </c>
      <c r="M299" s="75"/>
      <c r="N299" s="70"/>
      <c r="O299" s="77" t="s">
        <v>179</v>
      </c>
      <c r="P299" s="79">
        <v>45167.777384259258</v>
      </c>
      <c r="Q299" s="77" t="s">
        <v>881</v>
      </c>
      <c r="R299" s="77">
        <v>0</v>
      </c>
      <c r="S299" s="77">
        <v>0</v>
      </c>
      <c r="T299" s="77">
        <v>0</v>
      </c>
      <c r="U299" s="77">
        <v>0</v>
      </c>
      <c r="V299" s="77">
        <v>14</v>
      </c>
      <c r="W299" s="82" t="s">
        <v>1721</v>
      </c>
      <c r="X299" s="80" t="str">
        <f>HYPERLINK("https://go.hotmart.com/H86278979E?dp=1")</f>
        <v>https://go.hotmart.com/H86278979E?dp=1</v>
      </c>
      <c r="Y299" s="77" t="s">
        <v>2138</v>
      </c>
      <c r="Z299" s="77"/>
      <c r="AA299" s="77" t="s">
        <v>2420</v>
      </c>
      <c r="AB299" s="77" t="s">
        <v>2714</v>
      </c>
      <c r="AC299" s="82" t="s">
        <v>2722</v>
      </c>
      <c r="AD299" s="77" t="s">
        <v>2752</v>
      </c>
      <c r="AE299" s="80" t="str">
        <f>HYPERLINK("https://twitter.com/africano_trader/status/1696593418938470603")</f>
        <v>https://twitter.com/africano_trader/status/1696593418938470603</v>
      </c>
      <c r="AF299" s="79">
        <v>45167.777384259258</v>
      </c>
      <c r="AG299" s="85">
        <v>45167</v>
      </c>
      <c r="AH299" s="82" t="s">
        <v>3055</v>
      </c>
      <c r="AI299" s="77" t="b">
        <v>0</v>
      </c>
      <c r="AJ299" s="77"/>
      <c r="AK299" s="77"/>
      <c r="AL299" s="77"/>
      <c r="AM299" s="77"/>
      <c r="AN299" s="77"/>
      <c r="AO299" s="77"/>
      <c r="AP299" s="77"/>
      <c r="AQ299" s="77" t="s">
        <v>4046</v>
      </c>
      <c r="AR299" s="77"/>
      <c r="AS299" s="77"/>
      <c r="AT299" s="77"/>
      <c r="AU299" s="77"/>
      <c r="AV299" s="80" t="str">
        <f>HYPERLINK("https://pbs.twimg.com/media/F4uBbTOX0AEcu9Q.jpg")</f>
        <v>https://pbs.twimg.com/media/F4uBbTOX0AEcu9Q.jpg</v>
      </c>
      <c r="AW299" s="82" t="s">
        <v>4633</v>
      </c>
      <c r="AX299" s="82" t="s">
        <v>4633</v>
      </c>
      <c r="AY299" s="77"/>
      <c r="AZ299" s="82" t="s">
        <v>5615</v>
      </c>
      <c r="BA299" s="82" t="s">
        <v>5615</v>
      </c>
      <c r="BB299" s="82" t="s">
        <v>5615</v>
      </c>
      <c r="BC299" s="82" t="s">
        <v>4633</v>
      </c>
      <c r="BD299" s="82" t="s">
        <v>5942</v>
      </c>
      <c r="BE299" s="77"/>
      <c r="BF299" s="77"/>
      <c r="BG299" s="77"/>
      <c r="BH299" s="77"/>
      <c r="BI299" s="77"/>
    </row>
    <row r="300" spans="1:61" x14ac:dyDescent="0.25">
      <c r="A300" s="62" t="s">
        <v>345</v>
      </c>
      <c r="B300" s="62" t="s">
        <v>345</v>
      </c>
      <c r="C300" s="63"/>
      <c r="D300" s="64"/>
      <c r="E300" s="65"/>
      <c r="F300" s="66"/>
      <c r="G300" s="63"/>
      <c r="H300" s="67"/>
      <c r="I300" s="68"/>
      <c r="J300" s="68"/>
      <c r="K300" s="32"/>
      <c r="L300" s="75">
        <v>300</v>
      </c>
      <c r="M300" s="75"/>
      <c r="N300" s="70"/>
      <c r="O300" s="77" t="s">
        <v>583</v>
      </c>
      <c r="P300" s="79">
        <v>45157.496828703705</v>
      </c>
      <c r="Q300" s="77" t="s">
        <v>882</v>
      </c>
      <c r="R300" s="77">
        <v>0</v>
      </c>
      <c r="S300" s="77">
        <v>0</v>
      </c>
      <c r="T300" s="77">
        <v>0</v>
      </c>
      <c r="U300" s="77">
        <v>0</v>
      </c>
      <c r="V300" s="77">
        <v>3</v>
      </c>
      <c r="W300" s="82" t="s">
        <v>1722</v>
      </c>
      <c r="X300" s="77"/>
      <c r="Y300" s="77"/>
      <c r="Z300" s="77"/>
      <c r="AA300" s="77"/>
      <c r="AB300" s="77"/>
      <c r="AC300" s="82" t="s">
        <v>2719</v>
      </c>
      <c r="AD300" s="77" t="s">
        <v>2752</v>
      </c>
      <c r="AE300" s="80" t="str">
        <f>HYPERLINK("https://twitter.com/adcamenhe/status/1692867868960956580")</f>
        <v>https://twitter.com/adcamenhe/status/1692867868960956580</v>
      </c>
      <c r="AF300" s="79">
        <v>45157.496828703705</v>
      </c>
      <c r="AG300" s="85">
        <v>45157</v>
      </c>
      <c r="AH300" s="82" t="s">
        <v>3056</v>
      </c>
      <c r="AI300" s="77"/>
      <c r="AJ300" s="77"/>
      <c r="AK300" s="77"/>
      <c r="AL300" s="77"/>
      <c r="AM300" s="77"/>
      <c r="AN300" s="77"/>
      <c r="AO300" s="77"/>
      <c r="AP300" s="77"/>
      <c r="AQ300" s="77"/>
      <c r="AR300" s="77"/>
      <c r="AS300" s="77"/>
      <c r="AT300" s="77"/>
      <c r="AU300" s="77"/>
      <c r="AV300" s="80" t="str">
        <f>HYPERLINK("https://pbs.twimg.com/profile_images/1672868482528968704/Up-Diw_U_normal.jpg")</f>
        <v>https://pbs.twimg.com/profile_images/1672868482528968704/Up-Diw_U_normal.jpg</v>
      </c>
      <c r="AW300" s="82" t="s">
        <v>4634</v>
      </c>
      <c r="AX300" s="82" t="s">
        <v>5333</v>
      </c>
      <c r="AY300" s="82" t="s">
        <v>5586</v>
      </c>
      <c r="AZ300" s="82" t="s">
        <v>5333</v>
      </c>
      <c r="BA300" s="82" t="s">
        <v>5615</v>
      </c>
      <c r="BB300" s="82" t="s">
        <v>5615</v>
      </c>
      <c r="BC300" s="82" t="s">
        <v>5333</v>
      </c>
      <c r="BD300" s="82" t="s">
        <v>5586</v>
      </c>
      <c r="BE300" s="77"/>
      <c r="BF300" s="77"/>
      <c r="BG300" s="77"/>
      <c r="BH300" s="77"/>
      <c r="BI300" s="77"/>
    </row>
    <row r="301" spans="1:61" x14ac:dyDescent="0.25">
      <c r="A301" s="62" t="s">
        <v>346</v>
      </c>
      <c r="B301" s="62" t="s">
        <v>346</v>
      </c>
      <c r="C301" s="63"/>
      <c r="D301" s="64"/>
      <c r="E301" s="65"/>
      <c r="F301" s="66"/>
      <c r="G301" s="63"/>
      <c r="H301" s="67"/>
      <c r="I301" s="68"/>
      <c r="J301" s="68"/>
      <c r="K301" s="32"/>
      <c r="L301" s="75">
        <v>301</v>
      </c>
      <c r="M301" s="75"/>
      <c r="N301" s="70"/>
      <c r="O301" s="77" t="s">
        <v>583</v>
      </c>
      <c r="P301" s="79">
        <v>44966.793993055559</v>
      </c>
      <c r="Q301" s="77" t="s">
        <v>883</v>
      </c>
      <c r="R301" s="77">
        <v>0</v>
      </c>
      <c r="S301" s="77">
        <v>1</v>
      </c>
      <c r="T301" s="77">
        <v>0</v>
      </c>
      <c r="U301" s="77">
        <v>0</v>
      </c>
      <c r="V301" s="77">
        <v>8</v>
      </c>
      <c r="W301" s="82" t="s">
        <v>1723</v>
      </c>
      <c r="X301" s="77"/>
      <c r="Y301" s="77"/>
      <c r="Z301" s="77"/>
      <c r="AA301" s="77"/>
      <c r="AB301" s="77"/>
      <c r="AC301" s="82" t="s">
        <v>2720</v>
      </c>
      <c r="AD301" s="77" t="s">
        <v>2752</v>
      </c>
      <c r="AE301" s="80" t="str">
        <f>HYPERLINK("https://twitter.com/a_donnaire/status/1623759476166631424")</f>
        <v>https://twitter.com/a_donnaire/status/1623759476166631424</v>
      </c>
      <c r="AF301" s="79">
        <v>44966.793993055559</v>
      </c>
      <c r="AG301" s="85">
        <v>44966</v>
      </c>
      <c r="AH301" s="82" t="s">
        <v>3057</v>
      </c>
      <c r="AI301" s="77"/>
      <c r="AJ301" s="77"/>
      <c r="AK301" s="77"/>
      <c r="AL301" s="77"/>
      <c r="AM301" s="77"/>
      <c r="AN301" s="77"/>
      <c r="AO301" s="77"/>
      <c r="AP301" s="77"/>
      <c r="AQ301" s="77"/>
      <c r="AR301" s="77"/>
      <c r="AS301" s="77"/>
      <c r="AT301" s="77"/>
      <c r="AU301" s="77"/>
      <c r="AV301" s="80" t="str">
        <f>HYPERLINK("https://pbs.twimg.com/profile_images/1661291489844948994/UfYihVCP_normal.jpg")</f>
        <v>https://pbs.twimg.com/profile_images/1661291489844948994/UfYihVCP_normal.jpg</v>
      </c>
      <c r="AW301" s="82" t="s">
        <v>4635</v>
      </c>
      <c r="AX301" s="82" t="s">
        <v>5334</v>
      </c>
      <c r="AY301" s="82" t="s">
        <v>5587</v>
      </c>
      <c r="AZ301" s="82" t="s">
        <v>5334</v>
      </c>
      <c r="BA301" s="82" t="s">
        <v>5615</v>
      </c>
      <c r="BB301" s="82" t="s">
        <v>5615</v>
      </c>
      <c r="BC301" s="82" t="s">
        <v>5334</v>
      </c>
      <c r="BD301" s="82" t="s">
        <v>5587</v>
      </c>
      <c r="BE301" s="77"/>
      <c r="BF301" s="77"/>
      <c r="BG301" s="77"/>
      <c r="BH301" s="77"/>
      <c r="BI301" s="77"/>
    </row>
    <row r="302" spans="1:61" x14ac:dyDescent="0.25">
      <c r="A302" s="62" t="s">
        <v>347</v>
      </c>
      <c r="B302" s="62" t="s">
        <v>347</v>
      </c>
      <c r="C302" s="63"/>
      <c r="D302" s="64"/>
      <c r="E302" s="65"/>
      <c r="F302" s="66"/>
      <c r="G302" s="63"/>
      <c r="H302" s="67"/>
      <c r="I302" s="68"/>
      <c r="J302" s="68"/>
      <c r="K302" s="32"/>
      <c r="L302" s="75">
        <v>302</v>
      </c>
      <c r="M302" s="75"/>
      <c r="N302" s="70"/>
      <c r="O302" s="77" t="s">
        <v>179</v>
      </c>
      <c r="P302" s="79">
        <v>45017.939722222225</v>
      </c>
      <c r="Q302" s="77" t="s">
        <v>884</v>
      </c>
      <c r="R302" s="77">
        <v>0</v>
      </c>
      <c r="S302" s="77">
        <v>0</v>
      </c>
      <c r="T302" s="77">
        <v>0</v>
      </c>
      <c r="U302" s="77">
        <v>0</v>
      </c>
      <c r="V302" s="77">
        <v>58</v>
      </c>
      <c r="W302" s="82" t="s">
        <v>1544</v>
      </c>
      <c r="X302" s="77"/>
      <c r="Y302" s="77"/>
      <c r="Z302" s="77"/>
      <c r="AA302" s="77" t="s">
        <v>2421</v>
      </c>
      <c r="AB302" s="77" t="s">
        <v>2714</v>
      </c>
      <c r="AC302" s="82" t="s">
        <v>2719</v>
      </c>
      <c r="AD302" s="77" t="s">
        <v>2754</v>
      </c>
      <c r="AE302" s="80" t="str">
        <f>HYPERLINK("https://twitter.com/investoom/status/1642294064664985600")</f>
        <v>https://twitter.com/investoom/status/1642294064664985600</v>
      </c>
      <c r="AF302" s="79">
        <v>45017.939722222225</v>
      </c>
      <c r="AG302" s="85">
        <v>45017</v>
      </c>
      <c r="AH302" s="82" t="s">
        <v>3058</v>
      </c>
      <c r="AI302" s="77" t="b">
        <v>0</v>
      </c>
      <c r="AJ302" s="77"/>
      <c r="AK302" s="77"/>
      <c r="AL302" s="77"/>
      <c r="AM302" s="77"/>
      <c r="AN302" s="77"/>
      <c r="AO302" s="77"/>
      <c r="AP302" s="77"/>
      <c r="AQ302" s="77" t="s">
        <v>4047</v>
      </c>
      <c r="AR302" s="77"/>
      <c r="AS302" s="77"/>
      <c r="AT302" s="77"/>
      <c r="AU302" s="77"/>
      <c r="AV302" s="80" t="str">
        <f>HYPERLINK("https://pbs.twimg.com/media/FsqZv6pWcAE-J1s.jpg")</f>
        <v>https://pbs.twimg.com/media/FsqZv6pWcAE-J1s.jpg</v>
      </c>
      <c r="AW302" s="82" t="s">
        <v>4636</v>
      </c>
      <c r="AX302" s="82" t="s">
        <v>4636</v>
      </c>
      <c r="AY302" s="77"/>
      <c r="AZ302" s="82" t="s">
        <v>5615</v>
      </c>
      <c r="BA302" s="82" t="s">
        <v>5615</v>
      </c>
      <c r="BB302" s="82" t="s">
        <v>5615</v>
      </c>
      <c r="BC302" s="82" t="s">
        <v>4636</v>
      </c>
      <c r="BD302" s="82" t="s">
        <v>5943</v>
      </c>
      <c r="BE302" s="77"/>
      <c r="BF302" s="77"/>
      <c r="BG302" s="77"/>
      <c r="BH302" s="77"/>
      <c r="BI302" s="77"/>
    </row>
    <row r="303" spans="1:61" x14ac:dyDescent="0.25">
      <c r="A303" s="62" t="s">
        <v>348</v>
      </c>
      <c r="B303" s="62" t="s">
        <v>348</v>
      </c>
      <c r="C303" s="63"/>
      <c r="D303" s="64"/>
      <c r="E303" s="65"/>
      <c r="F303" s="66"/>
      <c r="G303" s="63"/>
      <c r="H303" s="67"/>
      <c r="I303" s="68"/>
      <c r="J303" s="68"/>
      <c r="K303" s="32"/>
      <c r="L303" s="75">
        <v>303</v>
      </c>
      <c r="M303" s="75"/>
      <c r="N303" s="70"/>
      <c r="O303" s="77" t="s">
        <v>179</v>
      </c>
      <c r="P303" s="79">
        <v>45144.468715277777</v>
      </c>
      <c r="Q303" s="77" t="s">
        <v>885</v>
      </c>
      <c r="R303" s="77">
        <v>2</v>
      </c>
      <c r="S303" s="77">
        <v>5</v>
      </c>
      <c r="T303" s="77">
        <v>1</v>
      </c>
      <c r="U303" s="77">
        <v>1</v>
      </c>
      <c r="V303" s="77">
        <v>476</v>
      </c>
      <c r="W303" s="82" t="s">
        <v>1724</v>
      </c>
      <c r="X303" s="80" t="str">
        <f>HYPERLINK("https://pugnaculum.com/por-que-o-bitcoin-e-a-verdadeira-liberdade-monetaria/")</f>
        <v>https://pugnaculum.com/por-que-o-bitcoin-e-a-verdadeira-liberdade-monetaria/</v>
      </c>
      <c r="Y303" s="77" t="s">
        <v>2152</v>
      </c>
      <c r="Z303" s="77"/>
      <c r="AA303" s="77"/>
      <c r="AB303" s="77"/>
      <c r="AC303" s="82" t="s">
        <v>2722</v>
      </c>
      <c r="AD303" s="77" t="s">
        <v>2752</v>
      </c>
      <c r="AE303" s="80" t="str">
        <f>HYPERLINK("https://twitter.com/paladinrood/status/1688146636353003520")</f>
        <v>https://twitter.com/paladinrood/status/1688146636353003520</v>
      </c>
      <c r="AF303" s="79">
        <v>45144.468715277777</v>
      </c>
      <c r="AG303" s="85">
        <v>45144</v>
      </c>
      <c r="AH303" s="82" t="s">
        <v>3059</v>
      </c>
      <c r="AI303" s="77" t="b">
        <v>0</v>
      </c>
      <c r="AJ303" s="77"/>
      <c r="AK303" s="77"/>
      <c r="AL303" s="77"/>
      <c r="AM303" s="77"/>
      <c r="AN303" s="77"/>
      <c r="AO303" s="77"/>
      <c r="AP303" s="77"/>
      <c r="AQ303" s="77"/>
      <c r="AR303" s="77"/>
      <c r="AS303" s="77"/>
      <c r="AT303" s="77"/>
      <c r="AU303" s="77"/>
      <c r="AV303" s="80" t="str">
        <f>HYPERLINK("https://pbs.twimg.com/profile_images/1673001624883666947/Bo66srxq_normal.jpg")</f>
        <v>https://pbs.twimg.com/profile_images/1673001624883666947/Bo66srxq_normal.jpg</v>
      </c>
      <c r="AW303" s="82" t="s">
        <v>4637</v>
      </c>
      <c r="AX303" s="82" t="s">
        <v>4637</v>
      </c>
      <c r="AY303" s="77"/>
      <c r="AZ303" s="82" t="s">
        <v>5615</v>
      </c>
      <c r="BA303" s="82" t="s">
        <v>5615</v>
      </c>
      <c r="BB303" s="82" t="s">
        <v>5615</v>
      </c>
      <c r="BC303" s="82" t="s">
        <v>4637</v>
      </c>
      <c r="BD303" s="77">
        <v>15666651</v>
      </c>
      <c r="BE303" s="77"/>
      <c r="BF303" s="77"/>
      <c r="BG303" s="77"/>
      <c r="BH303" s="77"/>
      <c r="BI303" s="77"/>
    </row>
    <row r="304" spans="1:61" x14ac:dyDescent="0.25">
      <c r="A304" s="62" t="s">
        <v>349</v>
      </c>
      <c r="B304" s="62" t="s">
        <v>349</v>
      </c>
      <c r="C304" s="63"/>
      <c r="D304" s="64"/>
      <c r="E304" s="65"/>
      <c r="F304" s="66"/>
      <c r="G304" s="63"/>
      <c r="H304" s="67"/>
      <c r="I304" s="68"/>
      <c r="J304" s="68"/>
      <c r="K304" s="32"/>
      <c r="L304" s="75">
        <v>304</v>
      </c>
      <c r="M304" s="75"/>
      <c r="N304" s="70"/>
      <c r="O304" s="77" t="s">
        <v>179</v>
      </c>
      <c r="P304" s="79">
        <v>45181.507002314815</v>
      </c>
      <c r="Q304" s="77" t="s">
        <v>886</v>
      </c>
      <c r="R304" s="77">
        <v>0</v>
      </c>
      <c r="S304" s="77">
        <v>0</v>
      </c>
      <c r="T304" s="77">
        <v>0</v>
      </c>
      <c r="U304" s="77">
        <v>0</v>
      </c>
      <c r="V304" s="77">
        <v>9</v>
      </c>
      <c r="W304" s="82" t="s">
        <v>1725</v>
      </c>
      <c r="X304" s="77"/>
      <c r="Y304" s="77"/>
      <c r="Z304" s="77"/>
      <c r="AA304" s="77"/>
      <c r="AB304" s="77"/>
      <c r="AC304" s="82" t="s">
        <v>2719</v>
      </c>
      <c r="AD304" s="77" t="s">
        <v>2752</v>
      </c>
      <c r="AE304" s="80" t="str">
        <f>HYPERLINK("https://twitter.com/druzi11/status/1701568864146866536")</f>
        <v>https://twitter.com/druzi11/status/1701568864146866536</v>
      </c>
      <c r="AF304" s="79">
        <v>45181.507002314815</v>
      </c>
      <c r="AG304" s="85">
        <v>45181</v>
      </c>
      <c r="AH304" s="82" t="s">
        <v>3060</v>
      </c>
      <c r="AI304" s="77"/>
      <c r="AJ304" s="77"/>
      <c r="AK304" s="77"/>
      <c r="AL304" s="77"/>
      <c r="AM304" s="77"/>
      <c r="AN304" s="77"/>
      <c r="AO304" s="77"/>
      <c r="AP304" s="77"/>
      <c r="AQ304" s="77"/>
      <c r="AR304" s="77"/>
      <c r="AS304" s="77"/>
      <c r="AT304" s="77"/>
      <c r="AU304" s="77"/>
      <c r="AV304" s="80" t="str">
        <f>HYPERLINK("https://pbs.twimg.com/profile_images/1336274058963525632/6yK1d7_9_normal.jpg")</f>
        <v>https://pbs.twimg.com/profile_images/1336274058963525632/6yK1d7_9_normal.jpg</v>
      </c>
      <c r="AW304" s="82" t="s">
        <v>4638</v>
      </c>
      <c r="AX304" s="82" t="s">
        <v>4638</v>
      </c>
      <c r="AY304" s="77"/>
      <c r="AZ304" s="82" t="s">
        <v>5615</v>
      </c>
      <c r="BA304" s="82" t="s">
        <v>5615</v>
      </c>
      <c r="BB304" s="82" t="s">
        <v>5615</v>
      </c>
      <c r="BC304" s="82" t="s">
        <v>4638</v>
      </c>
      <c r="BD304" s="82" t="s">
        <v>5944</v>
      </c>
      <c r="BE304" s="77"/>
      <c r="BF304" s="77"/>
      <c r="BG304" s="77"/>
      <c r="BH304" s="77"/>
      <c r="BI304" s="77"/>
    </row>
    <row r="305" spans="1:61" x14ac:dyDescent="0.25">
      <c r="A305" s="62" t="s">
        <v>350</v>
      </c>
      <c r="B305" s="62" t="s">
        <v>350</v>
      </c>
      <c r="C305" s="63"/>
      <c r="D305" s="64"/>
      <c r="E305" s="65"/>
      <c r="F305" s="66"/>
      <c r="G305" s="63"/>
      <c r="H305" s="67"/>
      <c r="I305" s="68"/>
      <c r="J305" s="68"/>
      <c r="K305" s="32"/>
      <c r="L305" s="75">
        <v>305</v>
      </c>
      <c r="M305" s="75"/>
      <c r="N305" s="70"/>
      <c r="O305" s="77" t="s">
        <v>179</v>
      </c>
      <c r="P305" s="79">
        <v>45179.947476851848</v>
      </c>
      <c r="Q305" s="77" t="s">
        <v>887</v>
      </c>
      <c r="R305" s="77">
        <v>0</v>
      </c>
      <c r="S305" s="77">
        <v>0</v>
      </c>
      <c r="T305" s="77">
        <v>0</v>
      </c>
      <c r="U305" s="77">
        <v>0</v>
      </c>
      <c r="V305" s="77">
        <v>9</v>
      </c>
      <c r="W305" s="82" t="s">
        <v>1726</v>
      </c>
      <c r="X305" s="80" t="str">
        <f>HYPERLINK("https://bit.ly/48bfU20")</f>
        <v>https://bit.ly/48bfU20</v>
      </c>
      <c r="Y305" s="77" t="s">
        <v>2132</v>
      </c>
      <c r="Z305" s="77"/>
      <c r="AA305" s="77" t="s">
        <v>2422</v>
      </c>
      <c r="AB305" s="77" t="s">
        <v>2714</v>
      </c>
      <c r="AC305" s="82" t="s">
        <v>2719</v>
      </c>
      <c r="AD305" s="77" t="s">
        <v>2752</v>
      </c>
      <c r="AE305" s="80" t="str">
        <f>HYPERLINK("https://twitter.com/antonellampaiva/status/1701003712901353728")</f>
        <v>https://twitter.com/antonellampaiva/status/1701003712901353728</v>
      </c>
      <c r="AF305" s="79">
        <v>45179.947476851848</v>
      </c>
      <c r="AG305" s="85">
        <v>45179</v>
      </c>
      <c r="AH305" s="82" t="s">
        <v>3061</v>
      </c>
      <c r="AI305" s="77" t="b">
        <v>0</v>
      </c>
      <c r="AJ305" s="77"/>
      <c r="AK305" s="77"/>
      <c r="AL305" s="77"/>
      <c r="AM305" s="77"/>
      <c r="AN305" s="77"/>
      <c r="AO305" s="77"/>
      <c r="AP305" s="77"/>
      <c r="AQ305" s="77" t="s">
        <v>4048</v>
      </c>
      <c r="AR305" s="77"/>
      <c r="AS305" s="77"/>
      <c r="AT305" s="77"/>
      <c r="AU305" s="77"/>
      <c r="AV305" s="80" t="str">
        <f>HYPERLINK("https://pbs.twimg.com/media/F5st3IRbIAAq9J9.jpg")</f>
        <v>https://pbs.twimg.com/media/F5st3IRbIAAq9J9.jpg</v>
      </c>
      <c r="AW305" s="82" t="s">
        <v>4639</v>
      </c>
      <c r="AX305" s="82" t="s">
        <v>4639</v>
      </c>
      <c r="AY305" s="77"/>
      <c r="AZ305" s="82" t="s">
        <v>5615</v>
      </c>
      <c r="BA305" s="82" t="s">
        <v>5615</v>
      </c>
      <c r="BB305" s="82" t="s">
        <v>5615</v>
      </c>
      <c r="BC305" s="82" t="s">
        <v>4639</v>
      </c>
      <c r="BD305" s="82" t="s">
        <v>5945</v>
      </c>
      <c r="BE305" s="77"/>
      <c r="BF305" s="77"/>
      <c r="BG305" s="77"/>
      <c r="BH305" s="77"/>
      <c r="BI305" s="77"/>
    </row>
    <row r="306" spans="1:61" x14ac:dyDescent="0.25">
      <c r="A306" s="62" t="s">
        <v>351</v>
      </c>
      <c r="B306" s="62" t="s">
        <v>351</v>
      </c>
      <c r="C306" s="63"/>
      <c r="D306" s="64"/>
      <c r="E306" s="65"/>
      <c r="F306" s="66"/>
      <c r="G306" s="63"/>
      <c r="H306" s="67"/>
      <c r="I306" s="68"/>
      <c r="J306" s="68"/>
      <c r="K306" s="32"/>
      <c r="L306" s="75">
        <v>306</v>
      </c>
      <c r="M306" s="75"/>
      <c r="N306" s="70"/>
      <c r="O306" s="77" t="s">
        <v>179</v>
      </c>
      <c r="P306" s="79">
        <v>45080.826273148145</v>
      </c>
      <c r="Q306" s="77" t="s">
        <v>888</v>
      </c>
      <c r="R306" s="77">
        <v>0</v>
      </c>
      <c r="S306" s="77">
        <v>5</v>
      </c>
      <c r="T306" s="77">
        <v>0</v>
      </c>
      <c r="U306" s="77">
        <v>0</v>
      </c>
      <c r="V306" s="77">
        <v>336</v>
      </c>
      <c r="W306" s="82" t="s">
        <v>1727</v>
      </c>
      <c r="X306" s="77"/>
      <c r="Y306" s="77"/>
      <c r="Z306" s="77"/>
      <c r="AA306" s="77" t="s">
        <v>2423</v>
      </c>
      <c r="AB306" s="77" t="s">
        <v>2713</v>
      </c>
      <c r="AC306" s="82" t="s">
        <v>2719</v>
      </c>
      <c r="AD306" s="77" t="s">
        <v>2752</v>
      </c>
      <c r="AE306" s="80" t="str">
        <f>HYPERLINK("https://twitter.com/dnatalia_d/status/1665083391354519554")</f>
        <v>https://twitter.com/dnatalia_d/status/1665083391354519554</v>
      </c>
      <c r="AF306" s="79">
        <v>45080.826273148145</v>
      </c>
      <c r="AG306" s="85">
        <v>45080</v>
      </c>
      <c r="AH306" s="82" t="s">
        <v>3062</v>
      </c>
      <c r="AI306" s="77" t="b">
        <v>0</v>
      </c>
      <c r="AJ306" s="77"/>
      <c r="AK306" s="77"/>
      <c r="AL306" s="77"/>
      <c r="AM306" s="77"/>
      <c r="AN306" s="77"/>
      <c r="AO306" s="77"/>
      <c r="AP306" s="77"/>
      <c r="AQ306" s="77" t="s">
        <v>4049</v>
      </c>
      <c r="AR306" s="77">
        <v>18343</v>
      </c>
      <c r="AS306" s="77"/>
      <c r="AT306" s="77"/>
      <c r="AU306" s="77"/>
      <c r="AV306" s="80" t="str">
        <f>HYPERLINK("https://pbs.twimg.com/ext_tw_video_thumb/1665083299654451200/pu/img/UnPkcFCI4NdIDXoM.jpg")</f>
        <v>https://pbs.twimg.com/ext_tw_video_thumb/1665083299654451200/pu/img/UnPkcFCI4NdIDXoM.jpg</v>
      </c>
      <c r="AW306" s="82" t="s">
        <v>4640</v>
      </c>
      <c r="AX306" s="82" t="s">
        <v>4640</v>
      </c>
      <c r="AY306" s="77"/>
      <c r="AZ306" s="82" t="s">
        <v>5615</v>
      </c>
      <c r="BA306" s="82" t="s">
        <v>5615</v>
      </c>
      <c r="BB306" s="82" t="s">
        <v>5615</v>
      </c>
      <c r="BC306" s="82" t="s">
        <v>4640</v>
      </c>
      <c r="BD306" s="82" t="s">
        <v>5946</v>
      </c>
      <c r="BE306" s="77"/>
      <c r="BF306" s="77"/>
      <c r="BG306" s="77"/>
      <c r="BH306" s="77"/>
      <c r="BI306" s="77"/>
    </row>
    <row r="307" spans="1:61" x14ac:dyDescent="0.25">
      <c r="A307" s="62" t="s">
        <v>352</v>
      </c>
      <c r="B307" s="62" t="s">
        <v>352</v>
      </c>
      <c r="C307" s="63"/>
      <c r="D307" s="64"/>
      <c r="E307" s="65"/>
      <c r="F307" s="66"/>
      <c r="G307" s="63"/>
      <c r="H307" s="67"/>
      <c r="I307" s="68"/>
      <c r="J307" s="68"/>
      <c r="K307" s="32"/>
      <c r="L307" s="75">
        <v>307</v>
      </c>
      <c r="M307" s="75"/>
      <c r="N307" s="70"/>
      <c r="O307" s="77" t="s">
        <v>179</v>
      </c>
      <c r="P307" s="79">
        <v>45152.043773148151</v>
      </c>
      <c r="Q307" s="77" t="s">
        <v>889</v>
      </c>
      <c r="R307" s="77">
        <v>1</v>
      </c>
      <c r="S307" s="77">
        <v>1</v>
      </c>
      <c r="T307" s="77">
        <v>0</v>
      </c>
      <c r="U307" s="77">
        <v>0</v>
      </c>
      <c r="V307" s="77">
        <v>35</v>
      </c>
      <c r="W307" s="82" t="s">
        <v>1728</v>
      </c>
      <c r="X307" s="77"/>
      <c r="Y307" s="77"/>
      <c r="Z307" s="77"/>
      <c r="AA307" s="77"/>
      <c r="AB307" s="77"/>
      <c r="AC307" s="82" t="s">
        <v>2722</v>
      </c>
      <c r="AD307" s="77" t="s">
        <v>2752</v>
      </c>
      <c r="AE307" s="80" t="str">
        <f>HYPERLINK("https://twitter.com/the_nomadship/status/1690891746186506241")</f>
        <v>https://twitter.com/the_nomadship/status/1690891746186506241</v>
      </c>
      <c r="AF307" s="79">
        <v>45152.043773148151</v>
      </c>
      <c r="AG307" s="85">
        <v>45152</v>
      </c>
      <c r="AH307" s="82" t="s">
        <v>3063</v>
      </c>
      <c r="AI307" s="77"/>
      <c r="AJ307" s="77"/>
      <c r="AK307" s="77"/>
      <c r="AL307" s="77"/>
      <c r="AM307" s="77"/>
      <c r="AN307" s="77"/>
      <c r="AO307" s="77"/>
      <c r="AP307" s="77"/>
      <c r="AQ307" s="77"/>
      <c r="AR307" s="77"/>
      <c r="AS307" s="77"/>
      <c r="AT307" s="77"/>
      <c r="AU307" s="77"/>
      <c r="AV307" s="80" t="str">
        <f>HYPERLINK("https://pbs.twimg.com/profile_images/1689427223827152896/e_T7P0Hh_normal.jpg")</f>
        <v>https://pbs.twimg.com/profile_images/1689427223827152896/e_T7P0Hh_normal.jpg</v>
      </c>
      <c r="AW307" s="82" t="s">
        <v>4641</v>
      </c>
      <c r="AX307" s="82" t="s">
        <v>4641</v>
      </c>
      <c r="AY307" s="77"/>
      <c r="AZ307" s="82" t="s">
        <v>5615</v>
      </c>
      <c r="BA307" s="82" t="s">
        <v>5615</v>
      </c>
      <c r="BB307" s="82" t="s">
        <v>5615</v>
      </c>
      <c r="BC307" s="82" t="s">
        <v>4641</v>
      </c>
      <c r="BD307" s="82" t="s">
        <v>5947</v>
      </c>
      <c r="BE307" s="77"/>
      <c r="BF307" s="77"/>
      <c r="BG307" s="77"/>
      <c r="BH307" s="77"/>
      <c r="BI307" s="77"/>
    </row>
    <row r="308" spans="1:61" x14ac:dyDescent="0.25">
      <c r="A308" s="62" t="s">
        <v>353</v>
      </c>
      <c r="B308" s="62" t="s">
        <v>353</v>
      </c>
      <c r="C308" s="63"/>
      <c r="D308" s="64"/>
      <c r="E308" s="65"/>
      <c r="F308" s="66"/>
      <c r="G308" s="63"/>
      <c r="H308" s="67"/>
      <c r="I308" s="68"/>
      <c r="J308" s="68"/>
      <c r="K308" s="32"/>
      <c r="L308" s="75">
        <v>308</v>
      </c>
      <c r="M308" s="75"/>
      <c r="N308" s="70"/>
      <c r="O308" s="77" t="s">
        <v>179</v>
      </c>
      <c r="P308" s="79">
        <v>45007.839548611111</v>
      </c>
      <c r="Q308" s="77" t="s">
        <v>890</v>
      </c>
      <c r="R308" s="77">
        <v>0</v>
      </c>
      <c r="S308" s="77">
        <v>0</v>
      </c>
      <c r="T308" s="77">
        <v>0</v>
      </c>
      <c r="U308" s="77">
        <v>0</v>
      </c>
      <c r="V308" s="77">
        <v>62</v>
      </c>
      <c r="W308" s="82" t="s">
        <v>1729</v>
      </c>
      <c r="X308" s="77"/>
      <c r="Y308" s="77"/>
      <c r="Z308" s="77"/>
      <c r="AA308" s="77" t="s">
        <v>2424</v>
      </c>
      <c r="AB308" s="77" t="s">
        <v>2713</v>
      </c>
      <c r="AC308" s="82" t="s">
        <v>2719</v>
      </c>
      <c r="AD308" s="77" t="s">
        <v>2752</v>
      </c>
      <c r="AE308" s="80" t="str">
        <f>HYPERLINK("https://twitter.com/kauedpoll/status/1638633885062889472")</f>
        <v>https://twitter.com/kauedpoll/status/1638633885062889472</v>
      </c>
      <c r="AF308" s="79">
        <v>45007.839548611111</v>
      </c>
      <c r="AG308" s="85">
        <v>45007</v>
      </c>
      <c r="AH308" s="82" t="s">
        <v>3064</v>
      </c>
      <c r="AI308" s="77" t="b">
        <v>0</v>
      </c>
      <c r="AJ308" s="77"/>
      <c r="AK308" s="77"/>
      <c r="AL308" s="77"/>
      <c r="AM308" s="77"/>
      <c r="AN308" s="77"/>
      <c r="AO308" s="77"/>
      <c r="AP308" s="77"/>
      <c r="AQ308" s="77" t="s">
        <v>4050</v>
      </c>
      <c r="AR308" s="77">
        <v>37521</v>
      </c>
      <c r="AS308" s="77"/>
      <c r="AT308" s="77"/>
      <c r="AU308" s="77"/>
      <c r="AV308" s="80" t="str">
        <f>HYPERLINK("https://pbs.twimg.com/ext_tw_video_thumb/1638633810194579459/pu/img/KgfMyS3teV9FJyL7.jpg")</f>
        <v>https://pbs.twimg.com/ext_tw_video_thumb/1638633810194579459/pu/img/KgfMyS3teV9FJyL7.jpg</v>
      </c>
      <c r="AW308" s="82" t="s">
        <v>4642</v>
      </c>
      <c r="AX308" s="82" t="s">
        <v>4642</v>
      </c>
      <c r="AY308" s="77"/>
      <c r="AZ308" s="82" t="s">
        <v>5615</v>
      </c>
      <c r="BA308" s="82" t="s">
        <v>5615</v>
      </c>
      <c r="BB308" s="82" t="s">
        <v>5615</v>
      </c>
      <c r="BC308" s="82" t="s">
        <v>4642</v>
      </c>
      <c r="BD308" s="77">
        <v>312364401</v>
      </c>
      <c r="BE308" s="77"/>
      <c r="BF308" s="77"/>
      <c r="BG308" s="77"/>
      <c r="BH308" s="77"/>
      <c r="BI308" s="77"/>
    </row>
    <row r="309" spans="1:61" x14ac:dyDescent="0.25">
      <c r="A309" s="62" t="s">
        <v>353</v>
      </c>
      <c r="B309" s="62" t="s">
        <v>353</v>
      </c>
      <c r="C309" s="63"/>
      <c r="D309" s="64"/>
      <c r="E309" s="65"/>
      <c r="F309" s="66"/>
      <c r="G309" s="63"/>
      <c r="H309" s="67"/>
      <c r="I309" s="68"/>
      <c r="J309" s="68"/>
      <c r="K309" s="32"/>
      <c r="L309" s="75">
        <v>309</v>
      </c>
      <c r="M309" s="75"/>
      <c r="N309" s="70"/>
      <c r="O309" s="77" t="s">
        <v>179</v>
      </c>
      <c r="P309" s="79">
        <v>45003.89775462963</v>
      </c>
      <c r="Q309" s="77" t="s">
        <v>891</v>
      </c>
      <c r="R309" s="77">
        <v>0</v>
      </c>
      <c r="S309" s="77">
        <v>0</v>
      </c>
      <c r="T309" s="77">
        <v>0</v>
      </c>
      <c r="U309" s="77">
        <v>0</v>
      </c>
      <c r="V309" s="77">
        <v>58</v>
      </c>
      <c r="W309" s="82" t="s">
        <v>1730</v>
      </c>
      <c r="X309" s="77"/>
      <c r="Y309" s="77"/>
      <c r="Z309" s="77"/>
      <c r="AA309" s="77" t="s">
        <v>2425</v>
      </c>
      <c r="AB309" s="77" t="s">
        <v>2714</v>
      </c>
      <c r="AC309" s="82" t="s">
        <v>2719</v>
      </c>
      <c r="AD309" s="77" t="s">
        <v>2752</v>
      </c>
      <c r="AE309" s="80" t="str">
        <f>HYPERLINK("https://twitter.com/kauedpoll/status/1637205428902739970")</f>
        <v>https://twitter.com/kauedpoll/status/1637205428902739970</v>
      </c>
      <c r="AF309" s="79">
        <v>45003.89775462963</v>
      </c>
      <c r="AG309" s="85">
        <v>45003</v>
      </c>
      <c r="AH309" s="82" t="s">
        <v>3065</v>
      </c>
      <c r="AI309" s="77" t="b">
        <v>0</v>
      </c>
      <c r="AJ309" s="77"/>
      <c r="AK309" s="77"/>
      <c r="AL309" s="77"/>
      <c r="AM309" s="77"/>
      <c r="AN309" s="77"/>
      <c r="AO309" s="77"/>
      <c r="AP309" s="77"/>
      <c r="AQ309" s="77" t="s">
        <v>4051</v>
      </c>
      <c r="AR309" s="77"/>
      <c r="AS309" s="77"/>
      <c r="AT309" s="77"/>
      <c r="AU309" s="77"/>
      <c r="AV309" s="80" t="str">
        <f>HYPERLINK("https://pbs.twimg.com/media/FriFqTSXwAMlnPH.jpg")</f>
        <v>https://pbs.twimg.com/media/FriFqTSXwAMlnPH.jpg</v>
      </c>
      <c r="AW309" s="82" t="s">
        <v>4643</v>
      </c>
      <c r="AX309" s="82" t="s">
        <v>4643</v>
      </c>
      <c r="AY309" s="77"/>
      <c r="AZ309" s="82" t="s">
        <v>5615</v>
      </c>
      <c r="BA309" s="82" t="s">
        <v>5615</v>
      </c>
      <c r="BB309" s="82" t="s">
        <v>5615</v>
      </c>
      <c r="BC309" s="82" t="s">
        <v>4643</v>
      </c>
      <c r="BD309" s="77">
        <v>312364401</v>
      </c>
      <c r="BE309" s="77"/>
      <c r="BF309" s="77"/>
      <c r="BG309" s="77"/>
      <c r="BH309" s="77"/>
      <c r="BI309" s="77"/>
    </row>
    <row r="310" spans="1:61" x14ac:dyDescent="0.25">
      <c r="A310" s="62" t="s">
        <v>353</v>
      </c>
      <c r="B310" s="62" t="s">
        <v>353</v>
      </c>
      <c r="C310" s="63"/>
      <c r="D310" s="64"/>
      <c r="E310" s="65"/>
      <c r="F310" s="66"/>
      <c r="G310" s="63"/>
      <c r="H310" s="67"/>
      <c r="I310" s="68"/>
      <c r="J310" s="68"/>
      <c r="K310" s="32"/>
      <c r="L310" s="75">
        <v>310</v>
      </c>
      <c r="M310" s="75"/>
      <c r="N310" s="70"/>
      <c r="O310" s="77" t="s">
        <v>179</v>
      </c>
      <c r="P310" s="79">
        <v>45003.888668981483</v>
      </c>
      <c r="Q310" s="77" t="s">
        <v>892</v>
      </c>
      <c r="R310" s="77">
        <v>0</v>
      </c>
      <c r="S310" s="77">
        <v>0</v>
      </c>
      <c r="T310" s="77">
        <v>0</v>
      </c>
      <c r="U310" s="77">
        <v>0</v>
      </c>
      <c r="V310" s="77">
        <v>55</v>
      </c>
      <c r="W310" s="82" t="s">
        <v>1730</v>
      </c>
      <c r="X310" s="77"/>
      <c r="Y310" s="77"/>
      <c r="Z310" s="77"/>
      <c r="AA310" s="77" t="s">
        <v>2426</v>
      </c>
      <c r="AB310" s="77" t="s">
        <v>2714</v>
      </c>
      <c r="AC310" s="82" t="s">
        <v>2719</v>
      </c>
      <c r="AD310" s="77" t="s">
        <v>2752</v>
      </c>
      <c r="AE310" s="80" t="str">
        <f>HYPERLINK("https://twitter.com/kauedpoll/status/1637202133563891712")</f>
        <v>https://twitter.com/kauedpoll/status/1637202133563891712</v>
      </c>
      <c r="AF310" s="79">
        <v>45003.888668981483</v>
      </c>
      <c r="AG310" s="85">
        <v>45003</v>
      </c>
      <c r="AH310" s="82" t="s">
        <v>3066</v>
      </c>
      <c r="AI310" s="77" t="b">
        <v>0</v>
      </c>
      <c r="AJ310" s="77"/>
      <c r="AK310" s="77"/>
      <c r="AL310" s="77"/>
      <c r="AM310" s="77"/>
      <c r="AN310" s="77"/>
      <c r="AO310" s="77"/>
      <c r="AP310" s="77"/>
      <c r="AQ310" s="77" t="s">
        <v>4052</v>
      </c>
      <c r="AR310" s="77"/>
      <c r="AS310" s="77"/>
      <c r="AT310" s="77"/>
      <c r="AU310" s="77"/>
      <c r="AV310" s="80" t="str">
        <f>HYPERLINK("https://pbs.twimg.com/media/FriCqawXsAEjegj.jpg")</f>
        <v>https://pbs.twimg.com/media/FriCqawXsAEjegj.jpg</v>
      </c>
      <c r="AW310" s="82" t="s">
        <v>4644</v>
      </c>
      <c r="AX310" s="82" t="s">
        <v>4644</v>
      </c>
      <c r="AY310" s="77"/>
      <c r="AZ310" s="82" t="s">
        <v>5615</v>
      </c>
      <c r="BA310" s="82" t="s">
        <v>5615</v>
      </c>
      <c r="BB310" s="82" t="s">
        <v>5615</v>
      </c>
      <c r="BC310" s="82" t="s">
        <v>4644</v>
      </c>
      <c r="BD310" s="77">
        <v>312364401</v>
      </c>
      <c r="BE310" s="77"/>
      <c r="BF310" s="77"/>
      <c r="BG310" s="77"/>
      <c r="BH310" s="77"/>
      <c r="BI310" s="77"/>
    </row>
    <row r="311" spans="1:61" x14ac:dyDescent="0.25">
      <c r="A311" s="62" t="s">
        <v>353</v>
      </c>
      <c r="B311" s="62" t="s">
        <v>353</v>
      </c>
      <c r="C311" s="63"/>
      <c r="D311" s="64"/>
      <c r="E311" s="65"/>
      <c r="F311" s="66"/>
      <c r="G311" s="63"/>
      <c r="H311" s="67"/>
      <c r="I311" s="68"/>
      <c r="J311" s="68"/>
      <c r="K311" s="32"/>
      <c r="L311" s="75">
        <v>311</v>
      </c>
      <c r="M311" s="75"/>
      <c r="N311" s="70"/>
      <c r="O311" s="77" t="s">
        <v>179</v>
      </c>
      <c r="P311" s="79">
        <v>45001.88422453704</v>
      </c>
      <c r="Q311" s="77" t="s">
        <v>893</v>
      </c>
      <c r="R311" s="77">
        <v>0</v>
      </c>
      <c r="S311" s="77">
        <v>0</v>
      </c>
      <c r="T311" s="77">
        <v>0</v>
      </c>
      <c r="U311" s="77">
        <v>0</v>
      </c>
      <c r="V311" s="77">
        <v>55</v>
      </c>
      <c r="W311" s="82" t="s">
        <v>1731</v>
      </c>
      <c r="X311" s="77"/>
      <c r="Y311" s="77"/>
      <c r="Z311" s="77"/>
      <c r="AA311" s="77" t="s">
        <v>2427</v>
      </c>
      <c r="AB311" s="77" t="s">
        <v>2714</v>
      </c>
      <c r="AC311" s="82" t="s">
        <v>2719</v>
      </c>
      <c r="AD311" s="77" t="s">
        <v>2752</v>
      </c>
      <c r="AE311" s="80" t="str">
        <f>HYPERLINK("https://twitter.com/kauedpoll/status/1636475748482441216")</f>
        <v>https://twitter.com/kauedpoll/status/1636475748482441216</v>
      </c>
      <c r="AF311" s="79">
        <v>45001.88422453704</v>
      </c>
      <c r="AG311" s="85">
        <v>45001</v>
      </c>
      <c r="AH311" s="82" t="s">
        <v>3067</v>
      </c>
      <c r="AI311" s="77" t="b">
        <v>0</v>
      </c>
      <c r="AJ311" s="77"/>
      <c r="AK311" s="77"/>
      <c r="AL311" s="77"/>
      <c r="AM311" s="77"/>
      <c r="AN311" s="77"/>
      <c r="AO311" s="77"/>
      <c r="AP311" s="77"/>
      <c r="AQ311" s="77" t="s">
        <v>4053</v>
      </c>
      <c r="AR311" s="77"/>
      <c r="AS311" s="77"/>
      <c r="AT311" s="77"/>
      <c r="AU311" s="77"/>
      <c r="AV311" s="80" t="str">
        <f>HYPERLINK("https://pbs.twimg.com/media/FrXuBSdWAAE3yJt.jpg")</f>
        <v>https://pbs.twimg.com/media/FrXuBSdWAAE3yJt.jpg</v>
      </c>
      <c r="AW311" s="82" t="s">
        <v>4645</v>
      </c>
      <c r="AX311" s="82" t="s">
        <v>4645</v>
      </c>
      <c r="AY311" s="77"/>
      <c r="AZ311" s="82" t="s">
        <v>5615</v>
      </c>
      <c r="BA311" s="82" t="s">
        <v>5615</v>
      </c>
      <c r="BB311" s="82" t="s">
        <v>5615</v>
      </c>
      <c r="BC311" s="82" t="s">
        <v>4645</v>
      </c>
      <c r="BD311" s="77">
        <v>312364401</v>
      </c>
      <c r="BE311" s="77"/>
      <c r="BF311" s="77"/>
      <c r="BG311" s="77"/>
      <c r="BH311" s="77"/>
      <c r="BI311" s="77"/>
    </row>
    <row r="312" spans="1:61" x14ac:dyDescent="0.25">
      <c r="A312" s="62" t="s">
        <v>353</v>
      </c>
      <c r="B312" s="62" t="s">
        <v>353</v>
      </c>
      <c r="C312" s="63"/>
      <c r="D312" s="64"/>
      <c r="E312" s="65"/>
      <c r="F312" s="66"/>
      <c r="G312" s="63"/>
      <c r="H312" s="67"/>
      <c r="I312" s="68"/>
      <c r="J312" s="68"/>
      <c r="K312" s="32"/>
      <c r="L312" s="75">
        <v>312</v>
      </c>
      <c r="M312" s="75"/>
      <c r="N312" s="70"/>
      <c r="O312" s="77" t="s">
        <v>179</v>
      </c>
      <c r="P312" s="79">
        <v>45001.1953587963</v>
      </c>
      <c r="Q312" s="77" t="s">
        <v>894</v>
      </c>
      <c r="R312" s="77">
        <v>0</v>
      </c>
      <c r="S312" s="77">
        <v>2</v>
      </c>
      <c r="T312" s="77">
        <v>0</v>
      </c>
      <c r="U312" s="77">
        <v>0</v>
      </c>
      <c r="V312" s="77">
        <v>84</v>
      </c>
      <c r="W312" s="82" t="s">
        <v>1732</v>
      </c>
      <c r="X312" s="77"/>
      <c r="Y312" s="77"/>
      <c r="Z312" s="77"/>
      <c r="AA312" s="77" t="s">
        <v>2428</v>
      </c>
      <c r="AB312" s="77" t="s">
        <v>2714</v>
      </c>
      <c r="AC312" s="82" t="s">
        <v>2719</v>
      </c>
      <c r="AD312" s="77" t="s">
        <v>2752</v>
      </c>
      <c r="AE312" s="80" t="str">
        <f>HYPERLINK("https://twitter.com/kauedpoll/status/1636226114115829760")</f>
        <v>https://twitter.com/kauedpoll/status/1636226114115829760</v>
      </c>
      <c r="AF312" s="79">
        <v>45001.1953587963</v>
      </c>
      <c r="AG312" s="85">
        <v>45001</v>
      </c>
      <c r="AH312" s="82" t="s">
        <v>3068</v>
      </c>
      <c r="AI312" s="77" t="b">
        <v>0</v>
      </c>
      <c r="AJ312" s="77"/>
      <c r="AK312" s="77"/>
      <c r="AL312" s="77"/>
      <c r="AM312" s="77"/>
      <c r="AN312" s="77"/>
      <c r="AO312" s="77"/>
      <c r="AP312" s="77"/>
      <c r="AQ312" s="77" t="s">
        <v>4054</v>
      </c>
      <c r="AR312" s="77"/>
      <c r="AS312" s="77"/>
      <c r="AT312" s="77"/>
      <c r="AU312" s="77"/>
      <c r="AV312" s="80" t="str">
        <f>HYPERLINK("https://pbs.twimg.com/media/FrUK-ofWAAIovX1.jpg")</f>
        <v>https://pbs.twimg.com/media/FrUK-ofWAAIovX1.jpg</v>
      </c>
      <c r="AW312" s="82" t="s">
        <v>4646</v>
      </c>
      <c r="AX312" s="82" t="s">
        <v>4646</v>
      </c>
      <c r="AY312" s="77"/>
      <c r="AZ312" s="82" t="s">
        <v>5615</v>
      </c>
      <c r="BA312" s="82" t="s">
        <v>5615</v>
      </c>
      <c r="BB312" s="82" t="s">
        <v>5615</v>
      </c>
      <c r="BC312" s="82" t="s">
        <v>4646</v>
      </c>
      <c r="BD312" s="77">
        <v>312364401</v>
      </c>
      <c r="BE312" s="77"/>
      <c r="BF312" s="77"/>
      <c r="BG312" s="77"/>
      <c r="BH312" s="77"/>
      <c r="BI312" s="77"/>
    </row>
    <row r="313" spans="1:61" x14ac:dyDescent="0.25">
      <c r="A313" s="62" t="s">
        <v>353</v>
      </c>
      <c r="B313" s="62" t="s">
        <v>353</v>
      </c>
      <c r="C313" s="63"/>
      <c r="D313" s="64"/>
      <c r="E313" s="65"/>
      <c r="F313" s="66"/>
      <c r="G313" s="63"/>
      <c r="H313" s="67"/>
      <c r="I313" s="68"/>
      <c r="J313" s="68"/>
      <c r="K313" s="32"/>
      <c r="L313" s="75">
        <v>313</v>
      </c>
      <c r="M313" s="75"/>
      <c r="N313" s="70"/>
      <c r="O313" s="77" t="s">
        <v>179</v>
      </c>
      <c r="P313" s="79">
        <v>45001.177731481483</v>
      </c>
      <c r="Q313" s="77" t="s">
        <v>895</v>
      </c>
      <c r="R313" s="77">
        <v>0</v>
      </c>
      <c r="S313" s="77">
        <v>0</v>
      </c>
      <c r="T313" s="77">
        <v>0</v>
      </c>
      <c r="U313" s="77">
        <v>0</v>
      </c>
      <c r="V313" s="77">
        <v>73</v>
      </c>
      <c r="W313" s="82" t="s">
        <v>1733</v>
      </c>
      <c r="X313" s="77"/>
      <c r="Y313" s="77"/>
      <c r="Z313" s="77"/>
      <c r="AA313" s="77" t="s">
        <v>2429</v>
      </c>
      <c r="AB313" s="77" t="s">
        <v>2714</v>
      </c>
      <c r="AC313" s="82" t="s">
        <v>2719</v>
      </c>
      <c r="AD313" s="77" t="s">
        <v>2752</v>
      </c>
      <c r="AE313" s="80" t="str">
        <f>HYPERLINK("https://twitter.com/kauedpoll/status/1636219724580126720")</f>
        <v>https://twitter.com/kauedpoll/status/1636219724580126720</v>
      </c>
      <c r="AF313" s="79">
        <v>45001.177731481483</v>
      </c>
      <c r="AG313" s="85">
        <v>45001</v>
      </c>
      <c r="AH313" s="82" t="s">
        <v>3069</v>
      </c>
      <c r="AI313" s="77" t="b">
        <v>0</v>
      </c>
      <c r="AJ313" s="77"/>
      <c r="AK313" s="77"/>
      <c r="AL313" s="77"/>
      <c r="AM313" s="77"/>
      <c r="AN313" s="77"/>
      <c r="AO313" s="77"/>
      <c r="AP313" s="77"/>
      <c r="AQ313" s="77" t="s">
        <v>4055</v>
      </c>
      <c r="AR313" s="77"/>
      <c r="AS313" s="77"/>
      <c r="AT313" s="77"/>
      <c r="AU313" s="77"/>
      <c r="AV313" s="80" t="str">
        <f>HYPERLINK("https://pbs.twimg.com/media/FrUFKZgWcAEOFsg.jpg")</f>
        <v>https://pbs.twimg.com/media/FrUFKZgWcAEOFsg.jpg</v>
      </c>
      <c r="AW313" s="82" t="s">
        <v>4647</v>
      </c>
      <c r="AX313" s="82" t="s">
        <v>4647</v>
      </c>
      <c r="AY313" s="77"/>
      <c r="AZ313" s="82" t="s">
        <v>5615</v>
      </c>
      <c r="BA313" s="82" t="s">
        <v>5615</v>
      </c>
      <c r="BB313" s="82" t="s">
        <v>5615</v>
      </c>
      <c r="BC313" s="82" t="s">
        <v>4647</v>
      </c>
      <c r="BD313" s="77">
        <v>312364401</v>
      </c>
      <c r="BE313" s="77"/>
      <c r="BF313" s="77"/>
      <c r="BG313" s="77"/>
      <c r="BH313" s="77"/>
      <c r="BI313" s="77"/>
    </row>
    <row r="314" spans="1:61" x14ac:dyDescent="0.25">
      <c r="A314" s="62" t="s">
        <v>354</v>
      </c>
      <c r="B314" s="62" t="s">
        <v>354</v>
      </c>
      <c r="C314" s="63"/>
      <c r="D314" s="64"/>
      <c r="E314" s="65"/>
      <c r="F314" s="66"/>
      <c r="G314" s="63"/>
      <c r="H314" s="67"/>
      <c r="I314" s="68"/>
      <c r="J314" s="68"/>
      <c r="K314" s="32"/>
      <c r="L314" s="75">
        <v>314</v>
      </c>
      <c r="M314" s="75"/>
      <c r="N314" s="70"/>
      <c r="O314" s="77" t="s">
        <v>179</v>
      </c>
      <c r="P314" s="79">
        <v>45021.454467592594</v>
      </c>
      <c r="Q314" s="77" t="s">
        <v>896</v>
      </c>
      <c r="R314" s="77">
        <v>0</v>
      </c>
      <c r="S314" s="77">
        <v>1</v>
      </c>
      <c r="T314" s="77">
        <v>1</v>
      </c>
      <c r="U314" s="77">
        <v>0</v>
      </c>
      <c r="V314" s="77">
        <v>19</v>
      </c>
      <c r="W314" s="82" t="s">
        <v>1734</v>
      </c>
      <c r="X314" s="77"/>
      <c r="Y314" s="77"/>
      <c r="Z314" s="77"/>
      <c r="AA314" s="77" t="s">
        <v>2430</v>
      </c>
      <c r="AB314" s="77" t="s">
        <v>2714</v>
      </c>
      <c r="AC314" s="82" t="s">
        <v>2722</v>
      </c>
      <c r="AD314" s="77" t="s">
        <v>2752</v>
      </c>
      <c r="AE314" s="80" t="str">
        <f>HYPERLINK("https://twitter.com/tucoinvest/status/1643567767553966080")</f>
        <v>https://twitter.com/tucoinvest/status/1643567767553966080</v>
      </c>
      <c r="AF314" s="79">
        <v>45021.454467592594</v>
      </c>
      <c r="AG314" s="85">
        <v>45021</v>
      </c>
      <c r="AH314" s="82" t="s">
        <v>3070</v>
      </c>
      <c r="AI314" s="77" t="b">
        <v>0</v>
      </c>
      <c r="AJ314" s="77"/>
      <c r="AK314" s="77"/>
      <c r="AL314" s="77"/>
      <c r="AM314" s="77"/>
      <c r="AN314" s="77"/>
      <c r="AO314" s="77"/>
      <c r="AP314" s="77"/>
      <c r="AQ314" s="77" t="s">
        <v>4056</v>
      </c>
      <c r="AR314" s="77"/>
      <c r="AS314" s="77"/>
      <c r="AT314" s="77"/>
      <c r="AU314" s="77"/>
      <c r="AV314" s="80" t="str">
        <f>HYPERLINK("https://pbs.twimg.com/media/Fs8f318XsAA7_OY.jpg")</f>
        <v>https://pbs.twimg.com/media/Fs8f318XsAA7_OY.jpg</v>
      </c>
      <c r="AW314" s="82" t="s">
        <v>4648</v>
      </c>
      <c r="AX314" s="82" t="s">
        <v>4648</v>
      </c>
      <c r="AY314" s="77"/>
      <c r="AZ314" s="82" t="s">
        <v>5615</v>
      </c>
      <c r="BA314" s="82" t="s">
        <v>5615</v>
      </c>
      <c r="BB314" s="82" t="s">
        <v>5615</v>
      </c>
      <c r="BC314" s="82" t="s">
        <v>4648</v>
      </c>
      <c r="BD314" s="77">
        <v>2834986125</v>
      </c>
      <c r="BE314" s="77"/>
      <c r="BF314" s="77"/>
      <c r="BG314" s="77"/>
      <c r="BH314" s="77"/>
      <c r="BI314" s="77"/>
    </row>
    <row r="315" spans="1:61" x14ac:dyDescent="0.25">
      <c r="A315" s="62" t="s">
        <v>355</v>
      </c>
      <c r="B315" s="62" t="s">
        <v>355</v>
      </c>
      <c r="C315" s="63"/>
      <c r="D315" s="64"/>
      <c r="E315" s="65"/>
      <c r="F315" s="66"/>
      <c r="G315" s="63"/>
      <c r="H315" s="67"/>
      <c r="I315" s="68"/>
      <c r="J315" s="68"/>
      <c r="K315" s="32"/>
      <c r="L315" s="75">
        <v>315</v>
      </c>
      <c r="M315" s="75"/>
      <c r="N315" s="70"/>
      <c r="O315" s="77" t="s">
        <v>179</v>
      </c>
      <c r="P315" s="79">
        <v>45063.079826388886</v>
      </c>
      <c r="Q315" s="77" t="s">
        <v>897</v>
      </c>
      <c r="R315" s="77">
        <v>0</v>
      </c>
      <c r="S315" s="77">
        <v>0</v>
      </c>
      <c r="T315" s="77">
        <v>0</v>
      </c>
      <c r="U315" s="77">
        <v>0</v>
      </c>
      <c r="V315" s="77">
        <v>110</v>
      </c>
      <c r="W315" s="82" t="s">
        <v>1735</v>
      </c>
      <c r="X315" s="80" t="str">
        <f>HYPERLINK("https://youtu.be/g8SNilz9RNk")</f>
        <v>https://youtu.be/g8SNilz9RNk</v>
      </c>
      <c r="Y315" s="77" t="s">
        <v>2153</v>
      </c>
      <c r="Z315" s="77"/>
      <c r="AA315" s="77"/>
      <c r="AB315" s="77"/>
      <c r="AC315" s="82" t="s">
        <v>2720</v>
      </c>
      <c r="AD315" s="77" t="s">
        <v>2752</v>
      </c>
      <c r="AE315" s="80" t="str">
        <f>HYPERLINK("https://twitter.com/girofinanceiro/status/1658652294433439745")</f>
        <v>https://twitter.com/girofinanceiro/status/1658652294433439745</v>
      </c>
      <c r="AF315" s="79">
        <v>45063.079826388886</v>
      </c>
      <c r="AG315" s="85">
        <v>45063</v>
      </c>
      <c r="AH315" s="82" t="s">
        <v>3071</v>
      </c>
      <c r="AI315" s="77" t="b">
        <v>0</v>
      </c>
      <c r="AJ315" s="77"/>
      <c r="AK315" s="77"/>
      <c r="AL315" s="77"/>
      <c r="AM315" s="77"/>
      <c r="AN315" s="77"/>
      <c r="AO315" s="77"/>
      <c r="AP315" s="77"/>
      <c r="AQ315" s="77"/>
      <c r="AR315" s="77"/>
      <c r="AS315" s="77"/>
      <c r="AT315" s="77"/>
      <c r="AU315" s="77"/>
      <c r="AV315" s="80" t="str">
        <f>HYPERLINK("https://pbs.twimg.com/profile_images/1093983783483785217/TWZqG3VS_normal.jpg")</f>
        <v>https://pbs.twimg.com/profile_images/1093983783483785217/TWZqG3VS_normal.jpg</v>
      </c>
      <c r="AW315" s="82" t="s">
        <v>4649</v>
      </c>
      <c r="AX315" s="82" t="s">
        <v>4649</v>
      </c>
      <c r="AY315" s="77"/>
      <c r="AZ315" s="82" t="s">
        <v>5615</v>
      </c>
      <c r="BA315" s="82" t="s">
        <v>5615</v>
      </c>
      <c r="BB315" s="82" t="s">
        <v>5615</v>
      </c>
      <c r="BC315" s="82" t="s">
        <v>4649</v>
      </c>
      <c r="BD315" s="82" t="s">
        <v>5948</v>
      </c>
      <c r="BE315" s="77"/>
      <c r="BF315" s="77"/>
      <c r="BG315" s="77"/>
      <c r="BH315" s="77"/>
      <c r="BI315" s="77"/>
    </row>
    <row r="316" spans="1:61" x14ac:dyDescent="0.25">
      <c r="A316" s="62" t="s">
        <v>356</v>
      </c>
      <c r="B316" s="62" t="s">
        <v>356</v>
      </c>
      <c r="C316" s="63"/>
      <c r="D316" s="64"/>
      <c r="E316" s="65"/>
      <c r="F316" s="66"/>
      <c r="G316" s="63"/>
      <c r="H316" s="67"/>
      <c r="I316" s="68"/>
      <c r="J316" s="68"/>
      <c r="K316" s="32"/>
      <c r="L316" s="75">
        <v>316</v>
      </c>
      <c r="M316" s="75"/>
      <c r="N316" s="70"/>
      <c r="O316" s="77" t="s">
        <v>179</v>
      </c>
      <c r="P316" s="79">
        <v>45035.671400462961</v>
      </c>
      <c r="Q316" s="77" t="s">
        <v>898</v>
      </c>
      <c r="R316" s="77">
        <v>0</v>
      </c>
      <c r="S316" s="77">
        <v>0</v>
      </c>
      <c r="T316" s="77">
        <v>1</v>
      </c>
      <c r="U316" s="77">
        <v>0</v>
      </c>
      <c r="V316" s="77">
        <v>17</v>
      </c>
      <c r="W316" s="82" t="s">
        <v>1736</v>
      </c>
      <c r="X316" s="77"/>
      <c r="Y316" s="77"/>
      <c r="Z316" s="77"/>
      <c r="AA316" s="77"/>
      <c r="AB316" s="77"/>
      <c r="AC316" s="82" t="s">
        <v>2722</v>
      </c>
      <c r="AD316" s="77" t="s">
        <v>2752</v>
      </c>
      <c r="AE316" s="80" t="str">
        <f>HYPERLINK("https://twitter.com/maisumsilva__/status/1648719812359602178")</f>
        <v>https://twitter.com/maisumsilva__/status/1648719812359602178</v>
      </c>
      <c r="AF316" s="79">
        <v>45035.671400462961</v>
      </c>
      <c r="AG316" s="85">
        <v>45035</v>
      </c>
      <c r="AH316" s="82" t="s">
        <v>3072</v>
      </c>
      <c r="AI316" s="77"/>
      <c r="AJ316" s="77"/>
      <c r="AK316" s="77"/>
      <c r="AL316" s="77"/>
      <c r="AM316" s="77"/>
      <c r="AN316" s="77"/>
      <c r="AO316" s="77"/>
      <c r="AP316" s="77"/>
      <c r="AQ316" s="77"/>
      <c r="AR316" s="77"/>
      <c r="AS316" s="77"/>
      <c r="AT316" s="77"/>
      <c r="AU316" s="77"/>
      <c r="AV316" s="80" t="str">
        <f>HYPERLINK("https://pbs.twimg.com/profile_images/1642198762469707780/WqJDNyBA_normal.jpg")</f>
        <v>https://pbs.twimg.com/profile_images/1642198762469707780/WqJDNyBA_normal.jpg</v>
      </c>
      <c r="AW316" s="82" t="s">
        <v>4650</v>
      </c>
      <c r="AX316" s="82" t="s">
        <v>4650</v>
      </c>
      <c r="AY316" s="77"/>
      <c r="AZ316" s="82" t="s">
        <v>5615</v>
      </c>
      <c r="BA316" s="82" t="s">
        <v>5615</v>
      </c>
      <c r="BB316" s="82" t="s">
        <v>5615</v>
      </c>
      <c r="BC316" s="82" t="s">
        <v>4650</v>
      </c>
      <c r="BD316" s="82" t="s">
        <v>5949</v>
      </c>
      <c r="BE316" s="77"/>
      <c r="BF316" s="77"/>
      <c r="BG316" s="77"/>
      <c r="BH316" s="77"/>
      <c r="BI316" s="77"/>
    </row>
    <row r="317" spans="1:61" x14ac:dyDescent="0.25">
      <c r="A317" s="62" t="s">
        <v>357</v>
      </c>
      <c r="B317" s="62" t="s">
        <v>357</v>
      </c>
      <c r="C317" s="63"/>
      <c r="D317" s="64"/>
      <c r="E317" s="65"/>
      <c r="F317" s="66"/>
      <c r="G317" s="63"/>
      <c r="H317" s="67"/>
      <c r="I317" s="68"/>
      <c r="J317" s="68"/>
      <c r="K317" s="32"/>
      <c r="L317" s="75">
        <v>317</v>
      </c>
      <c r="M317" s="75"/>
      <c r="N317" s="70"/>
      <c r="O317" s="77" t="s">
        <v>179</v>
      </c>
      <c r="P317" s="79">
        <v>45077.574155092596</v>
      </c>
      <c r="Q317" s="77" t="s">
        <v>899</v>
      </c>
      <c r="R317" s="77">
        <v>1</v>
      </c>
      <c r="S317" s="77">
        <v>3</v>
      </c>
      <c r="T317" s="77">
        <v>1</v>
      </c>
      <c r="U317" s="77">
        <v>0</v>
      </c>
      <c r="V317" s="77">
        <v>21</v>
      </c>
      <c r="W317" s="82" t="s">
        <v>1737</v>
      </c>
      <c r="X317" s="80" t="str">
        <f>HYPERLINK("https://buff.ly/3N6ev4i")</f>
        <v>https://buff.ly/3N6ev4i</v>
      </c>
      <c r="Y317" s="77" t="s">
        <v>2154</v>
      </c>
      <c r="Z317" s="77"/>
      <c r="AA317" s="77" t="s">
        <v>2431</v>
      </c>
      <c r="AB317" s="77" t="s">
        <v>2714</v>
      </c>
      <c r="AC317" s="82" t="s">
        <v>2733</v>
      </c>
      <c r="AD317" s="77" t="s">
        <v>2752</v>
      </c>
      <c r="AE317" s="80" t="str">
        <f>HYPERLINK("https://twitter.com/moneymarkets_br/status/1663904860008325123")</f>
        <v>https://twitter.com/moneymarkets_br/status/1663904860008325123</v>
      </c>
      <c r="AF317" s="79">
        <v>45077.574155092596</v>
      </c>
      <c r="AG317" s="85">
        <v>45077</v>
      </c>
      <c r="AH317" s="82" t="s">
        <v>3073</v>
      </c>
      <c r="AI317" s="77" t="b">
        <v>0</v>
      </c>
      <c r="AJ317" s="77"/>
      <c r="AK317" s="77"/>
      <c r="AL317" s="77"/>
      <c r="AM317" s="77"/>
      <c r="AN317" s="77"/>
      <c r="AO317" s="77"/>
      <c r="AP317" s="77"/>
      <c r="AQ317" s="77" t="s">
        <v>4057</v>
      </c>
      <c r="AR317" s="77"/>
      <c r="AS317" s="77"/>
      <c r="AT317" s="77"/>
      <c r="AU317" s="77"/>
      <c r="AV317" s="80" t="str">
        <f>HYPERLINK("https://pbs.twimg.com/media/Fxdgpq0WYAItMgS.jpg")</f>
        <v>https://pbs.twimg.com/media/Fxdgpq0WYAItMgS.jpg</v>
      </c>
      <c r="AW317" s="82" t="s">
        <v>4651</v>
      </c>
      <c r="AX317" s="82" t="s">
        <v>4651</v>
      </c>
      <c r="AY317" s="77"/>
      <c r="AZ317" s="82" t="s">
        <v>5615</v>
      </c>
      <c r="BA317" s="82" t="s">
        <v>5615</v>
      </c>
      <c r="BB317" s="82" t="s">
        <v>5615</v>
      </c>
      <c r="BC317" s="82" t="s">
        <v>4651</v>
      </c>
      <c r="BD317" s="82" t="s">
        <v>5950</v>
      </c>
      <c r="BE317" s="77"/>
      <c r="BF317" s="77"/>
      <c r="BG317" s="77"/>
      <c r="BH317" s="77"/>
      <c r="BI317" s="77"/>
    </row>
    <row r="318" spans="1:61" x14ac:dyDescent="0.25">
      <c r="A318" s="62" t="s">
        <v>358</v>
      </c>
      <c r="B318" s="62" t="s">
        <v>358</v>
      </c>
      <c r="C318" s="63"/>
      <c r="D318" s="64"/>
      <c r="E318" s="65"/>
      <c r="F318" s="66"/>
      <c r="G318" s="63"/>
      <c r="H318" s="67"/>
      <c r="I318" s="68"/>
      <c r="J318" s="68"/>
      <c r="K318" s="32"/>
      <c r="L318" s="75">
        <v>318</v>
      </c>
      <c r="M318" s="75"/>
      <c r="N318" s="70"/>
      <c r="O318" s="77" t="s">
        <v>179</v>
      </c>
      <c r="P318" s="79">
        <v>45136.674085648148</v>
      </c>
      <c r="Q318" s="77" t="s">
        <v>900</v>
      </c>
      <c r="R318" s="77">
        <v>0</v>
      </c>
      <c r="S318" s="77">
        <v>0</v>
      </c>
      <c r="T318" s="77">
        <v>0</v>
      </c>
      <c r="U318" s="77">
        <v>0</v>
      </c>
      <c r="V318" s="77">
        <v>11</v>
      </c>
      <c r="W318" s="82" t="s">
        <v>1738</v>
      </c>
      <c r="X318" s="77"/>
      <c r="Y318" s="77"/>
      <c r="Z318" s="77"/>
      <c r="AA318" s="77" t="s">
        <v>2432</v>
      </c>
      <c r="AB318" s="77" t="s">
        <v>2714</v>
      </c>
      <c r="AC318" s="82" t="s">
        <v>2719</v>
      </c>
      <c r="AD318" s="77" t="s">
        <v>2752</v>
      </c>
      <c r="AE318" s="80" t="str">
        <f>HYPERLINK("https://twitter.com/patriciaalc0211/status/1685321957212819456")</f>
        <v>https://twitter.com/patriciaalc0211/status/1685321957212819456</v>
      </c>
      <c r="AF318" s="79">
        <v>45136.674085648148</v>
      </c>
      <c r="AG318" s="85">
        <v>45136</v>
      </c>
      <c r="AH318" s="82" t="s">
        <v>3074</v>
      </c>
      <c r="AI318" s="77" t="b">
        <v>0</v>
      </c>
      <c r="AJ318" s="77" t="s">
        <v>3740</v>
      </c>
      <c r="AK318" s="77" t="s">
        <v>3752</v>
      </c>
      <c r="AL318" s="77" t="s">
        <v>3755</v>
      </c>
      <c r="AM318" s="77" t="s">
        <v>3764</v>
      </c>
      <c r="AN318" s="77" t="s">
        <v>3780</v>
      </c>
      <c r="AO318" s="77" t="s">
        <v>3798</v>
      </c>
      <c r="AP318" s="77" t="s">
        <v>3808</v>
      </c>
      <c r="AQ318" s="77" t="s">
        <v>4058</v>
      </c>
      <c r="AR318" s="77"/>
      <c r="AS318" s="77"/>
      <c r="AT318" s="77"/>
      <c r="AU318" s="77"/>
      <c r="AV318" s="80" t="str">
        <f>HYPERLINK("https://pbs.twimg.com/media/F2N3Y0WXMAAZDB1.jpg")</f>
        <v>https://pbs.twimg.com/media/F2N3Y0WXMAAZDB1.jpg</v>
      </c>
      <c r="AW318" s="82" t="s">
        <v>4652</v>
      </c>
      <c r="AX318" s="82" t="s">
        <v>4652</v>
      </c>
      <c r="AY318" s="77"/>
      <c r="AZ318" s="82" t="s">
        <v>5615</v>
      </c>
      <c r="BA318" s="82" t="s">
        <v>5615</v>
      </c>
      <c r="BB318" s="82" t="s">
        <v>5615</v>
      </c>
      <c r="BC318" s="82" t="s">
        <v>4652</v>
      </c>
      <c r="BD318" s="82" t="s">
        <v>5951</v>
      </c>
      <c r="BE318" s="77"/>
      <c r="BF318" s="77"/>
      <c r="BG318" s="77"/>
      <c r="BH318" s="77"/>
      <c r="BI318" s="77"/>
    </row>
    <row r="319" spans="1:61" x14ac:dyDescent="0.25">
      <c r="A319" s="62" t="s">
        <v>359</v>
      </c>
      <c r="B319" s="62" t="s">
        <v>359</v>
      </c>
      <c r="C319" s="63"/>
      <c r="D319" s="64"/>
      <c r="E319" s="65"/>
      <c r="F319" s="66"/>
      <c r="G319" s="63"/>
      <c r="H319" s="67"/>
      <c r="I319" s="68"/>
      <c r="J319" s="68"/>
      <c r="K319" s="32"/>
      <c r="L319" s="75">
        <v>319</v>
      </c>
      <c r="M319" s="75"/>
      <c r="N319" s="70"/>
      <c r="O319" s="77" t="s">
        <v>583</v>
      </c>
      <c r="P319" s="79">
        <v>45022.500844907408</v>
      </c>
      <c r="Q319" s="77" t="s">
        <v>901</v>
      </c>
      <c r="R319" s="77">
        <v>0</v>
      </c>
      <c r="S319" s="77">
        <v>0</v>
      </c>
      <c r="T319" s="77">
        <v>0</v>
      </c>
      <c r="U319" s="77">
        <v>0</v>
      </c>
      <c r="V319" s="77">
        <v>13</v>
      </c>
      <c r="W319" s="82" t="s">
        <v>1739</v>
      </c>
      <c r="X319" s="77"/>
      <c r="Y319" s="77"/>
      <c r="Z319" s="77"/>
      <c r="AA319" s="77"/>
      <c r="AB319" s="77"/>
      <c r="AC319" s="82" t="s">
        <v>2733</v>
      </c>
      <c r="AD319" s="77" t="s">
        <v>2752</v>
      </c>
      <c r="AE319" s="80" t="str">
        <f>HYPERLINK("https://twitter.com/lucianomathias/status/1643946962092273664")</f>
        <v>https://twitter.com/lucianomathias/status/1643946962092273664</v>
      </c>
      <c r="AF319" s="79">
        <v>45022.500844907408</v>
      </c>
      <c r="AG319" s="85">
        <v>45022</v>
      </c>
      <c r="AH319" s="82" t="s">
        <v>3075</v>
      </c>
      <c r="AI319" s="77"/>
      <c r="AJ319" s="77"/>
      <c r="AK319" s="77"/>
      <c r="AL319" s="77"/>
      <c r="AM319" s="77"/>
      <c r="AN319" s="77"/>
      <c r="AO319" s="77"/>
      <c r="AP319" s="77"/>
      <c r="AQ319" s="77"/>
      <c r="AR319" s="77"/>
      <c r="AS319" s="77"/>
      <c r="AT319" s="77"/>
      <c r="AU319" s="77"/>
      <c r="AV319" s="80" t="str">
        <f>HYPERLINK("https://pbs.twimg.com/profile_images/1619347986114383872/IEWD9S3-_normal.jpg")</f>
        <v>https://pbs.twimg.com/profile_images/1619347986114383872/IEWD9S3-_normal.jpg</v>
      </c>
      <c r="AW319" s="82" t="s">
        <v>4653</v>
      </c>
      <c r="AX319" s="82" t="s">
        <v>5335</v>
      </c>
      <c r="AY319" s="82" t="s">
        <v>5588</v>
      </c>
      <c r="AZ319" s="82" t="s">
        <v>5622</v>
      </c>
      <c r="BA319" s="82" t="s">
        <v>5615</v>
      </c>
      <c r="BB319" s="82" t="s">
        <v>5615</v>
      </c>
      <c r="BC319" s="82" t="s">
        <v>5622</v>
      </c>
      <c r="BD319" s="77">
        <v>16949110</v>
      </c>
      <c r="BE319" s="77"/>
      <c r="BF319" s="77"/>
      <c r="BG319" s="77"/>
      <c r="BH319" s="77"/>
      <c r="BI319" s="77"/>
    </row>
    <row r="320" spans="1:61" x14ac:dyDescent="0.25">
      <c r="A320" s="62" t="s">
        <v>360</v>
      </c>
      <c r="B320" s="62" t="s">
        <v>568</v>
      </c>
      <c r="C320" s="63"/>
      <c r="D320" s="64"/>
      <c r="E320" s="65"/>
      <c r="F320" s="66"/>
      <c r="G320" s="63"/>
      <c r="H320" s="67"/>
      <c r="I320" s="68"/>
      <c r="J320" s="68"/>
      <c r="K320" s="32"/>
      <c r="L320" s="75">
        <v>320</v>
      </c>
      <c r="M320" s="75"/>
      <c r="N320" s="70"/>
      <c r="O320" s="77" t="s">
        <v>586</v>
      </c>
      <c r="P320" s="79">
        <v>45027.966319444444</v>
      </c>
      <c r="Q320" s="77" t="s">
        <v>902</v>
      </c>
      <c r="R320" s="77">
        <v>0</v>
      </c>
      <c r="S320" s="77">
        <v>0</v>
      </c>
      <c r="T320" s="77">
        <v>0</v>
      </c>
      <c r="U320" s="77">
        <v>0</v>
      </c>
      <c r="V320" s="77">
        <v>28</v>
      </c>
      <c r="W320" s="82" t="s">
        <v>1740</v>
      </c>
      <c r="X320" s="77"/>
      <c r="Y320" s="77"/>
      <c r="Z320" s="77" t="s">
        <v>568</v>
      </c>
      <c r="AA320" s="77" t="s">
        <v>2433</v>
      </c>
      <c r="AB320" s="77" t="s">
        <v>2713</v>
      </c>
      <c r="AC320" s="82" t="s">
        <v>2719</v>
      </c>
      <c r="AD320" s="77" t="s">
        <v>2752</v>
      </c>
      <c r="AE320" s="80" t="str">
        <f>HYPERLINK("https://twitter.com/pamelam72356001/status/1645927585619013634")</f>
        <v>https://twitter.com/pamelam72356001/status/1645927585619013634</v>
      </c>
      <c r="AF320" s="79">
        <v>45027.966319444444</v>
      </c>
      <c r="AG320" s="85">
        <v>45027</v>
      </c>
      <c r="AH320" s="82" t="s">
        <v>3076</v>
      </c>
      <c r="AI320" s="77" t="b">
        <v>0</v>
      </c>
      <c r="AJ320" s="77"/>
      <c r="AK320" s="77"/>
      <c r="AL320" s="77"/>
      <c r="AM320" s="77"/>
      <c r="AN320" s="77"/>
      <c r="AO320" s="77"/>
      <c r="AP320" s="77"/>
      <c r="AQ320" s="77" t="s">
        <v>4059</v>
      </c>
      <c r="AR320" s="77">
        <v>8499</v>
      </c>
      <c r="AS320" s="77"/>
      <c r="AT320" s="77"/>
      <c r="AU320" s="77"/>
      <c r="AV320" s="80" t="str">
        <f>HYPERLINK("https://pbs.twimg.com/ext_tw_video_thumb/1645927532384997376/pu/img/Tq_7hroOi8t_7xHU.jpg")</f>
        <v>https://pbs.twimg.com/ext_tw_video_thumb/1645927532384997376/pu/img/Tq_7hroOi8t_7xHU.jpg</v>
      </c>
      <c r="AW320" s="82" t="s">
        <v>4654</v>
      </c>
      <c r="AX320" s="82" t="s">
        <v>4654</v>
      </c>
      <c r="AY320" s="77"/>
      <c r="AZ320" s="82" t="s">
        <v>5615</v>
      </c>
      <c r="BA320" s="82" t="s">
        <v>5615</v>
      </c>
      <c r="BB320" s="82" t="s">
        <v>5615</v>
      </c>
      <c r="BC320" s="82" t="s">
        <v>4654</v>
      </c>
      <c r="BD320" s="82" t="s">
        <v>5952</v>
      </c>
      <c r="BE320" s="77"/>
      <c r="BF320" s="77"/>
      <c r="BG320" s="77"/>
      <c r="BH320" s="77"/>
      <c r="BI320" s="77"/>
    </row>
    <row r="321" spans="1:61" x14ac:dyDescent="0.25">
      <c r="A321" s="62" t="s">
        <v>361</v>
      </c>
      <c r="B321" s="62" t="s">
        <v>361</v>
      </c>
      <c r="C321" s="63"/>
      <c r="D321" s="64"/>
      <c r="E321" s="65"/>
      <c r="F321" s="66"/>
      <c r="G321" s="63"/>
      <c r="H321" s="67"/>
      <c r="I321" s="68"/>
      <c r="J321" s="68"/>
      <c r="K321" s="32"/>
      <c r="L321" s="75">
        <v>321</v>
      </c>
      <c r="M321" s="75"/>
      <c r="N321" s="70"/>
      <c r="O321" s="77" t="s">
        <v>179</v>
      </c>
      <c r="P321" s="79">
        <v>44954.06517361111</v>
      </c>
      <c r="Q321" s="77" t="s">
        <v>903</v>
      </c>
      <c r="R321" s="77">
        <v>0</v>
      </c>
      <c r="S321" s="77">
        <v>1</v>
      </c>
      <c r="T321" s="77">
        <v>0</v>
      </c>
      <c r="U321" s="77">
        <v>0</v>
      </c>
      <c r="V321" s="77">
        <v>21</v>
      </c>
      <c r="W321" s="82" t="s">
        <v>1741</v>
      </c>
      <c r="X321" s="77"/>
      <c r="Y321" s="77"/>
      <c r="Z321" s="77"/>
      <c r="AA321" s="77"/>
      <c r="AB321" s="77"/>
      <c r="AC321" s="82" t="s">
        <v>2719</v>
      </c>
      <c r="AD321" s="77" t="s">
        <v>2752</v>
      </c>
      <c r="AE321" s="80" t="str">
        <f>HYPERLINK("https://twitter.com/diego_motivador/status/1619146703676010496")</f>
        <v>https://twitter.com/diego_motivador/status/1619146703676010496</v>
      </c>
      <c r="AF321" s="79">
        <v>44954.06517361111</v>
      </c>
      <c r="AG321" s="85">
        <v>44954</v>
      </c>
      <c r="AH321" s="82" t="s">
        <v>3077</v>
      </c>
      <c r="AI321" s="77"/>
      <c r="AJ321" s="77"/>
      <c r="AK321" s="77"/>
      <c r="AL321" s="77"/>
      <c r="AM321" s="77"/>
      <c r="AN321" s="77"/>
      <c r="AO321" s="77"/>
      <c r="AP321" s="77"/>
      <c r="AQ321" s="77"/>
      <c r="AR321" s="77"/>
      <c r="AS321" s="77"/>
      <c r="AT321" s="77"/>
      <c r="AU321" s="77"/>
      <c r="AV321" s="80" t="str">
        <f>HYPERLINK("https://pbs.twimg.com/profile_images/1618455964897755136/znsDzSdT_normal.jpg")</f>
        <v>https://pbs.twimg.com/profile_images/1618455964897755136/znsDzSdT_normal.jpg</v>
      </c>
      <c r="AW321" s="82" t="s">
        <v>4655</v>
      </c>
      <c r="AX321" s="82" t="s">
        <v>4655</v>
      </c>
      <c r="AY321" s="77"/>
      <c r="AZ321" s="82" t="s">
        <v>5615</v>
      </c>
      <c r="BA321" s="82" t="s">
        <v>5615</v>
      </c>
      <c r="BB321" s="82" t="s">
        <v>5615</v>
      </c>
      <c r="BC321" s="82" t="s">
        <v>4655</v>
      </c>
      <c r="BD321" s="82" t="s">
        <v>5953</v>
      </c>
      <c r="BE321" s="77"/>
      <c r="BF321" s="77"/>
      <c r="BG321" s="77"/>
      <c r="BH321" s="77"/>
      <c r="BI321" s="77"/>
    </row>
    <row r="322" spans="1:61" x14ac:dyDescent="0.25">
      <c r="A322" s="62" t="s">
        <v>362</v>
      </c>
      <c r="B322" s="62" t="s">
        <v>362</v>
      </c>
      <c r="C322" s="63"/>
      <c r="D322" s="64"/>
      <c r="E322" s="65"/>
      <c r="F322" s="66"/>
      <c r="G322" s="63"/>
      <c r="H322" s="67"/>
      <c r="I322" s="68"/>
      <c r="J322" s="68"/>
      <c r="K322" s="32"/>
      <c r="L322" s="75">
        <v>322</v>
      </c>
      <c r="M322" s="75"/>
      <c r="N322" s="70"/>
      <c r="O322" s="77" t="s">
        <v>179</v>
      </c>
      <c r="P322" s="79">
        <v>44947.704386574071</v>
      </c>
      <c r="Q322" s="77" t="s">
        <v>904</v>
      </c>
      <c r="R322" s="77">
        <v>0</v>
      </c>
      <c r="S322" s="77">
        <v>0</v>
      </c>
      <c r="T322" s="77">
        <v>0</v>
      </c>
      <c r="U322" s="77">
        <v>0</v>
      </c>
      <c r="V322" s="77">
        <v>21</v>
      </c>
      <c r="W322" s="82" t="s">
        <v>1742</v>
      </c>
      <c r="X322" s="80" t="str">
        <f>HYPERLINK("https://www.instagram.com/p/Cnr0TkVOn4l/?igshid=YTgzYjQ4ZTY=")</f>
        <v>https://www.instagram.com/p/Cnr0TkVOn4l/?igshid=YTgzYjQ4ZTY=</v>
      </c>
      <c r="Y322" s="77" t="s">
        <v>2130</v>
      </c>
      <c r="Z322" s="77"/>
      <c r="AA322" s="77"/>
      <c r="AB322" s="77"/>
      <c r="AC322" s="82" t="s">
        <v>2723</v>
      </c>
      <c r="AD322" s="77" t="s">
        <v>2753</v>
      </c>
      <c r="AE322" s="80" t="str">
        <f>HYPERLINK("https://twitter.com/p_lucachinski/status/1616841632548098053")</f>
        <v>https://twitter.com/p_lucachinski/status/1616841632548098053</v>
      </c>
      <c r="AF322" s="79">
        <v>44947.704386574071</v>
      </c>
      <c r="AG322" s="85">
        <v>44947</v>
      </c>
      <c r="AH322" s="82" t="s">
        <v>3078</v>
      </c>
      <c r="AI322" s="77" t="b">
        <v>0</v>
      </c>
      <c r="AJ322" s="77"/>
      <c r="AK322" s="77"/>
      <c r="AL322" s="77"/>
      <c r="AM322" s="77"/>
      <c r="AN322" s="77"/>
      <c r="AO322" s="77"/>
      <c r="AP322" s="77"/>
      <c r="AQ322" s="77"/>
      <c r="AR322" s="77"/>
      <c r="AS322" s="77"/>
      <c r="AT322" s="77"/>
      <c r="AU322" s="77"/>
      <c r="AV322" s="80" t="str">
        <f>HYPERLINK("https://pbs.twimg.com/profile_images/1616841816862609412/80OwcyR4_normal.jpg")</f>
        <v>https://pbs.twimg.com/profile_images/1616841816862609412/80OwcyR4_normal.jpg</v>
      </c>
      <c r="AW322" s="82" t="s">
        <v>4656</v>
      </c>
      <c r="AX322" s="82" t="s">
        <v>4656</v>
      </c>
      <c r="AY322" s="77"/>
      <c r="AZ322" s="82" t="s">
        <v>5615</v>
      </c>
      <c r="BA322" s="82" t="s">
        <v>5615</v>
      </c>
      <c r="BB322" s="82" t="s">
        <v>5615</v>
      </c>
      <c r="BC322" s="82" t="s">
        <v>4656</v>
      </c>
      <c r="BD322" s="82" t="s">
        <v>5954</v>
      </c>
      <c r="BE322" s="77"/>
      <c r="BF322" s="77"/>
      <c r="BG322" s="77"/>
      <c r="BH322" s="77"/>
      <c r="BI322" s="77"/>
    </row>
    <row r="323" spans="1:61" x14ac:dyDescent="0.25">
      <c r="A323" s="62" t="s">
        <v>363</v>
      </c>
      <c r="B323" s="62" t="s">
        <v>363</v>
      </c>
      <c r="C323" s="63"/>
      <c r="D323" s="64"/>
      <c r="E323" s="65"/>
      <c r="F323" s="66"/>
      <c r="G323" s="63"/>
      <c r="H323" s="67"/>
      <c r="I323" s="68"/>
      <c r="J323" s="68"/>
      <c r="K323" s="32"/>
      <c r="L323" s="75">
        <v>323</v>
      </c>
      <c r="M323" s="75"/>
      <c r="N323" s="70"/>
      <c r="O323" s="77" t="s">
        <v>179</v>
      </c>
      <c r="P323" s="79">
        <v>45113.31454861111</v>
      </c>
      <c r="Q323" s="77" t="s">
        <v>905</v>
      </c>
      <c r="R323" s="77">
        <v>0</v>
      </c>
      <c r="S323" s="77">
        <v>1</v>
      </c>
      <c r="T323" s="77">
        <v>0</v>
      </c>
      <c r="U323" s="77">
        <v>0</v>
      </c>
      <c r="V323" s="77">
        <v>49</v>
      </c>
      <c r="W323" s="82" t="s">
        <v>1743</v>
      </c>
      <c r="X323" s="80" t="str">
        <f>HYPERLINK("https://www.wikifx.com/pt/?source=pjo7")</f>
        <v>https://www.wikifx.com/pt/?source=pjo7</v>
      </c>
      <c r="Y323" s="77" t="s">
        <v>2155</v>
      </c>
      <c r="Z323" s="77"/>
      <c r="AA323" s="77" t="s">
        <v>2434</v>
      </c>
      <c r="AB323" s="77" t="s">
        <v>2714</v>
      </c>
      <c r="AC323" s="82" t="s">
        <v>2722</v>
      </c>
      <c r="AD323" s="77" t="s">
        <v>2752</v>
      </c>
      <c r="AE323" s="80" t="str">
        <f>HYPERLINK("https://twitter.com/wikifxbroficial/status/1676856745531158528")</f>
        <v>https://twitter.com/wikifxbroficial/status/1676856745531158528</v>
      </c>
      <c r="AF323" s="79">
        <v>45113.31454861111</v>
      </c>
      <c r="AG323" s="85">
        <v>45113</v>
      </c>
      <c r="AH323" s="82" t="s">
        <v>3079</v>
      </c>
      <c r="AI323" s="77" t="b">
        <v>0</v>
      </c>
      <c r="AJ323" s="77"/>
      <c r="AK323" s="77"/>
      <c r="AL323" s="77"/>
      <c r="AM323" s="77"/>
      <c r="AN323" s="77"/>
      <c r="AO323" s="77"/>
      <c r="AP323" s="77"/>
      <c r="AQ323" s="77" t="s">
        <v>4060</v>
      </c>
      <c r="AR323" s="77"/>
      <c r="AS323" s="77"/>
      <c r="AT323" s="77"/>
      <c r="AU323" s="77"/>
      <c r="AV323" s="80" t="str">
        <f>HYPERLINK("https://pbs.twimg.com/media/F0VkOgKaIAImVAH.jpg")</f>
        <v>https://pbs.twimg.com/media/F0VkOgKaIAImVAH.jpg</v>
      </c>
      <c r="AW323" s="82" t="s">
        <v>4657</v>
      </c>
      <c r="AX323" s="82" t="s">
        <v>4657</v>
      </c>
      <c r="AY323" s="77"/>
      <c r="AZ323" s="82" t="s">
        <v>5615</v>
      </c>
      <c r="BA323" s="82" t="s">
        <v>5615</v>
      </c>
      <c r="BB323" s="82" t="s">
        <v>5615</v>
      </c>
      <c r="BC323" s="82" t="s">
        <v>4657</v>
      </c>
      <c r="BD323" s="82" t="s">
        <v>5955</v>
      </c>
      <c r="BE323" s="77"/>
      <c r="BF323" s="77"/>
      <c r="BG323" s="77"/>
      <c r="BH323" s="77"/>
      <c r="BI323" s="77"/>
    </row>
    <row r="324" spans="1:61" x14ac:dyDescent="0.25">
      <c r="A324" s="62" t="s">
        <v>363</v>
      </c>
      <c r="B324" s="62" t="s">
        <v>363</v>
      </c>
      <c r="C324" s="63"/>
      <c r="D324" s="64"/>
      <c r="E324" s="65"/>
      <c r="F324" s="66"/>
      <c r="G324" s="63"/>
      <c r="H324" s="67"/>
      <c r="I324" s="68"/>
      <c r="J324" s="68"/>
      <c r="K324" s="32"/>
      <c r="L324" s="75">
        <v>324</v>
      </c>
      <c r="M324" s="75"/>
      <c r="N324" s="70"/>
      <c r="O324" s="77" t="s">
        <v>179</v>
      </c>
      <c r="P324" s="79">
        <v>45119.303379629629</v>
      </c>
      <c r="Q324" s="77" t="s">
        <v>906</v>
      </c>
      <c r="R324" s="77">
        <v>0</v>
      </c>
      <c r="S324" s="77">
        <v>1</v>
      </c>
      <c r="T324" s="77">
        <v>0</v>
      </c>
      <c r="U324" s="77">
        <v>0</v>
      </c>
      <c r="V324" s="77">
        <v>88</v>
      </c>
      <c r="W324" s="82" t="s">
        <v>1744</v>
      </c>
      <c r="X324" s="80" t="str">
        <f>HYPERLINK("https://wikifx.com/pt/newsdetail/202307125154574413.html?source=pjo7")</f>
        <v>https://wikifx.com/pt/newsdetail/202307125154574413.html?source=pjo7</v>
      </c>
      <c r="Y324" s="77" t="s">
        <v>2155</v>
      </c>
      <c r="Z324" s="77"/>
      <c r="AA324" s="77" t="s">
        <v>2435</v>
      </c>
      <c r="AB324" s="77" t="s">
        <v>2714</v>
      </c>
      <c r="AC324" s="82" t="s">
        <v>2722</v>
      </c>
      <c r="AD324" s="77" t="s">
        <v>2752</v>
      </c>
      <c r="AE324" s="80" t="str">
        <f>HYPERLINK("https://twitter.com/wikifxbroficial/status/1679027027943514112")</f>
        <v>https://twitter.com/wikifxbroficial/status/1679027027943514112</v>
      </c>
      <c r="AF324" s="79">
        <v>45119.303379629629</v>
      </c>
      <c r="AG324" s="85">
        <v>45119</v>
      </c>
      <c r="AH324" s="82" t="s">
        <v>3080</v>
      </c>
      <c r="AI324" s="77" t="b">
        <v>0</v>
      </c>
      <c r="AJ324" s="77"/>
      <c r="AK324" s="77"/>
      <c r="AL324" s="77"/>
      <c r="AM324" s="77"/>
      <c r="AN324" s="77"/>
      <c r="AO324" s="77"/>
      <c r="AP324" s="77"/>
      <c r="AQ324" s="77" t="s">
        <v>4061</v>
      </c>
      <c r="AR324" s="77"/>
      <c r="AS324" s="77"/>
      <c r="AT324" s="77"/>
      <c r="AU324" s="77"/>
      <c r="AV324" s="80" t="str">
        <f>HYPERLINK("https://pbs.twimg.com/media/F00ZYDdaEAAUf_L.jpg")</f>
        <v>https://pbs.twimg.com/media/F00ZYDdaEAAUf_L.jpg</v>
      </c>
      <c r="AW324" s="82" t="s">
        <v>4658</v>
      </c>
      <c r="AX324" s="82" t="s">
        <v>4658</v>
      </c>
      <c r="AY324" s="77"/>
      <c r="AZ324" s="82" t="s">
        <v>5615</v>
      </c>
      <c r="BA324" s="82" t="s">
        <v>5615</v>
      </c>
      <c r="BB324" s="82" t="s">
        <v>5615</v>
      </c>
      <c r="BC324" s="82" t="s">
        <v>4658</v>
      </c>
      <c r="BD324" s="82" t="s">
        <v>5955</v>
      </c>
      <c r="BE324" s="77"/>
      <c r="BF324" s="77"/>
      <c r="BG324" s="77"/>
      <c r="BH324" s="77"/>
      <c r="BI324" s="77"/>
    </row>
    <row r="325" spans="1:61" x14ac:dyDescent="0.25">
      <c r="A325" s="62" t="s">
        <v>363</v>
      </c>
      <c r="B325" s="62" t="s">
        <v>363</v>
      </c>
      <c r="C325" s="63"/>
      <c r="D325" s="64"/>
      <c r="E325" s="65"/>
      <c r="F325" s="66"/>
      <c r="G325" s="63"/>
      <c r="H325" s="67"/>
      <c r="I325" s="68"/>
      <c r="J325" s="68"/>
      <c r="K325" s="32"/>
      <c r="L325" s="75">
        <v>325</v>
      </c>
      <c r="M325" s="75"/>
      <c r="N325" s="70"/>
      <c r="O325" s="77" t="s">
        <v>179</v>
      </c>
      <c r="P325" s="79">
        <v>45102.408912037034</v>
      </c>
      <c r="Q325" s="77" t="s">
        <v>907</v>
      </c>
      <c r="R325" s="77">
        <v>0</v>
      </c>
      <c r="S325" s="77">
        <v>5</v>
      </c>
      <c r="T325" s="77">
        <v>0</v>
      </c>
      <c r="U325" s="77">
        <v>0</v>
      </c>
      <c r="V325" s="77">
        <v>86</v>
      </c>
      <c r="W325" s="82" t="s">
        <v>1745</v>
      </c>
      <c r="X325" s="80" t="str">
        <f>HYPERLINK("https://www.wikifx.com/pt/?source=pjo7")</f>
        <v>https://www.wikifx.com/pt/?source=pjo7</v>
      </c>
      <c r="Y325" s="77" t="s">
        <v>2155</v>
      </c>
      <c r="Z325" s="77"/>
      <c r="AA325" s="77" t="s">
        <v>2436</v>
      </c>
      <c r="AB325" s="77" t="s">
        <v>2714</v>
      </c>
      <c r="AC325" s="82" t="s">
        <v>2722</v>
      </c>
      <c r="AD325" s="77" t="s">
        <v>2752</v>
      </c>
      <c r="AE325" s="80" t="str">
        <f>HYPERLINK("https://twitter.com/wikifxbroficial/status/1672904676008931328")</f>
        <v>https://twitter.com/wikifxbroficial/status/1672904676008931328</v>
      </c>
      <c r="AF325" s="79">
        <v>45102.408912037034</v>
      </c>
      <c r="AG325" s="85">
        <v>45102</v>
      </c>
      <c r="AH325" s="82" t="s">
        <v>3081</v>
      </c>
      <c r="AI325" s="77" t="b">
        <v>0</v>
      </c>
      <c r="AJ325" s="77"/>
      <c r="AK325" s="77"/>
      <c r="AL325" s="77"/>
      <c r="AM325" s="77"/>
      <c r="AN325" s="77"/>
      <c r="AO325" s="77"/>
      <c r="AP325" s="77"/>
      <c r="AQ325" s="77" t="s">
        <v>4062</v>
      </c>
      <c r="AR325" s="77"/>
      <c r="AS325" s="77"/>
      <c r="AT325" s="77"/>
      <c r="AU325" s="77"/>
      <c r="AV325" s="80" t="str">
        <f>HYPERLINK("https://pbs.twimg.com/media/FzdZo6saQAE9cQl.jpg")</f>
        <v>https://pbs.twimg.com/media/FzdZo6saQAE9cQl.jpg</v>
      </c>
      <c r="AW325" s="82" t="s">
        <v>4659</v>
      </c>
      <c r="AX325" s="82" t="s">
        <v>4659</v>
      </c>
      <c r="AY325" s="77"/>
      <c r="AZ325" s="82" t="s">
        <v>5615</v>
      </c>
      <c r="BA325" s="82" t="s">
        <v>5615</v>
      </c>
      <c r="BB325" s="82" t="s">
        <v>5615</v>
      </c>
      <c r="BC325" s="82" t="s">
        <v>4659</v>
      </c>
      <c r="BD325" s="82" t="s">
        <v>5955</v>
      </c>
      <c r="BE325" s="77"/>
      <c r="BF325" s="77"/>
      <c r="BG325" s="77"/>
      <c r="BH325" s="77"/>
      <c r="BI325" s="77"/>
    </row>
    <row r="326" spans="1:61" x14ac:dyDescent="0.25">
      <c r="A326" s="62" t="s">
        <v>364</v>
      </c>
      <c r="B326" s="62" t="s">
        <v>364</v>
      </c>
      <c r="C326" s="63"/>
      <c r="D326" s="64"/>
      <c r="E326" s="65"/>
      <c r="F326" s="66"/>
      <c r="G326" s="63"/>
      <c r="H326" s="67"/>
      <c r="I326" s="68"/>
      <c r="J326" s="68"/>
      <c r="K326" s="32"/>
      <c r="L326" s="75">
        <v>326</v>
      </c>
      <c r="M326" s="75"/>
      <c r="N326" s="70"/>
      <c r="O326" s="77" t="s">
        <v>583</v>
      </c>
      <c r="P326" s="79">
        <v>45047.596539351849</v>
      </c>
      <c r="Q326" s="77" t="s">
        <v>908</v>
      </c>
      <c r="R326" s="77">
        <v>0</v>
      </c>
      <c r="S326" s="77">
        <v>0</v>
      </c>
      <c r="T326" s="77">
        <v>0</v>
      </c>
      <c r="U326" s="77">
        <v>0</v>
      </c>
      <c r="V326" s="77">
        <v>7</v>
      </c>
      <c r="W326" s="82" t="s">
        <v>1746</v>
      </c>
      <c r="X326" s="77"/>
      <c r="Y326" s="77"/>
      <c r="Z326" s="77"/>
      <c r="AA326" s="77"/>
      <c r="AB326" s="77"/>
      <c r="AC326" s="82" t="s">
        <v>2722</v>
      </c>
      <c r="AD326" s="77" t="s">
        <v>2752</v>
      </c>
      <c r="AE326" s="80" t="str">
        <f>HYPERLINK("https://twitter.com/japonews_eth/status/1653041337409888256")</f>
        <v>https://twitter.com/japonews_eth/status/1653041337409888256</v>
      </c>
      <c r="AF326" s="79">
        <v>45047.596539351849</v>
      </c>
      <c r="AG326" s="85">
        <v>45047</v>
      </c>
      <c r="AH326" s="82" t="s">
        <v>3082</v>
      </c>
      <c r="AI326" s="77"/>
      <c r="AJ326" s="77"/>
      <c r="AK326" s="77"/>
      <c r="AL326" s="77"/>
      <c r="AM326" s="77"/>
      <c r="AN326" s="77"/>
      <c r="AO326" s="77"/>
      <c r="AP326" s="77"/>
      <c r="AQ326" s="77"/>
      <c r="AR326" s="77"/>
      <c r="AS326" s="77"/>
      <c r="AT326" s="77"/>
      <c r="AU326" s="77"/>
      <c r="AV326" s="80" t="str">
        <f>HYPERLINK("https://pbs.twimg.com/profile_images/1573715760773419008/Zqmb-kMr_normal.jpg")</f>
        <v>https://pbs.twimg.com/profile_images/1573715760773419008/Zqmb-kMr_normal.jpg</v>
      </c>
      <c r="AW326" s="82" t="s">
        <v>4660</v>
      </c>
      <c r="AX326" s="82" t="s">
        <v>5336</v>
      </c>
      <c r="AY326" s="82" t="s">
        <v>5589</v>
      </c>
      <c r="AZ326" s="82" t="s">
        <v>5623</v>
      </c>
      <c r="BA326" s="82" t="s">
        <v>5615</v>
      </c>
      <c r="BB326" s="82" t="s">
        <v>5615</v>
      </c>
      <c r="BC326" s="82" t="s">
        <v>5623</v>
      </c>
      <c r="BD326" s="82" t="s">
        <v>5589</v>
      </c>
      <c r="BE326" s="77"/>
      <c r="BF326" s="77"/>
      <c r="BG326" s="77"/>
      <c r="BH326" s="77"/>
      <c r="BI326" s="77"/>
    </row>
    <row r="327" spans="1:61" x14ac:dyDescent="0.25">
      <c r="A327" s="62" t="s">
        <v>365</v>
      </c>
      <c r="B327" s="62" t="s">
        <v>365</v>
      </c>
      <c r="C327" s="63"/>
      <c r="D327" s="64"/>
      <c r="E327" s="65"/>
      <c r="F327" s="66"/>
      <c r="G327" s="63"/>
      <c r="H327" s="67"/>
      <c r="I327" s="68"/>
      <c r="J327" s="68"/>
      <c r="K327" s="32"/>
      <c r="L327" s="75">
        <v>327</v>
      </c>
      <c r="M327" s="75"/>
      <c r="N327" s="70"/>
      <c r="O327" s="77" t="s">
        <v>179</v>
      </c>
      <c r="P327" s="79">
        <v>45021.597997685189</v>
      </c>
      <c r="Q327" s="77" t="s">
        <v>909</v>
      </c>
      <c r="R327" s="77">
        <v>0</v>
      </c>
      <c r="S327" s="77">
        <v>3</v>
      </c>
      <c r="T327" s="77">
        <v>0</v>
      </c>
      <c r="U327" s="77">
        <v>0</v>
      </c>
      <c r="V327" s="77">
        <v>187</v>
      </c>
      <c r="W327" s="82" t="s">
        <v>1747</v>
      </c>
      <c r="X327" s="77"/>
      <c r="Y327" s="77"/>
      <c r="Z327" s="77"/>
      <c r="AA327" s="77" t="s">
        <v>2437</v>
      </c>
      <c r="AB327" s="77" t="s">
        <v>2714</v>
      </c>
      <c r="AC327" s="82" t="s">
        <v>2720</v>
      </c>
      <c r="AD327" s="77" t="s">
        <v>2753</v>
      </c>
      <c r="AE327" s="80" t="str">
        <f>HYPERLINK("https://twitter.com/davidejesuseth/status/1643619780648116228")</f>
        <v>https://twitter.com/davidejesuseth/status/1643619780648116228</v>
      </c>
      <c r="AF327" s="79">
        <v>45021.597997685189</v>
      </c>
      <c r="AG327" s="85">
        <v>45021</v>
      </c>
      <c r="AH327" s="82" t="s">
        <v>3083</v>
      </c>
      <c r="AI327" s="77" t="b">
        <v>0</v>
      </c>
      <c r="AJ327" s="77"/>
      <c r="AK327" s="77"/>
      <c r="AL327" s="77"/>
      <c r="AM327" s="77"/>
      <c r="AN327" s="77"/>
      <c r="AO327" s="77"/>
      <c r="AP327" s="77"/>
      <c r="AQ327" s="77" t="s">
        <v>4063</v>
      </c>
      <c r="AR327" s="77"/>
      <c r="AS327" s="77"/>
      <c r="AT327" s="77"/>
      <c r="AU327" s="77"/>
      <c r="AV327" s="80" t="str">
        <f>HYPERLINK("https://pbs.twimg.com/media/Fs9PecOWYAIqDpt.jpg")</f>
        <v>https://pbs.twimg.com/media/Fs9PecOWYAIqDpt.jpg</v>
      </c>
      <c r="AW327" s="82" t="s">
        <v>4661</v>
      </c>
      <c r="AX327" s="82" t="s">
        <v>4661</v>
      </c>
      <c r="AY327" s="77"/>
      <c r="AZ327" s="82" t="s">
        <v>5615</v>
      </c>
      <c r="BA327" s="82" t="s">
        <v>5615</v>
      </c>
      <c r="BB327" s="82" t="s">
        <v>5615</v>
      </c>
      <c r="BC327" s="82" t="s">
        <v>4661</v>
      </c>
      <c r="BD327" s="82" t="s">
        <v>5956</v>
      </c>
      <c r="BE327" s="77"/>
      <c r="BF327" s="77"/>
      <c r="BG327" s="77"/>
      <c r="BH327" s="77"/>
      <c r="BI327" s="77"/>
    </row>
    <row r="328" spans="1:61" x14ac:dyDescent="0.25">
      <c r="A328" s="62" t="s">
        <v>366</v>
      </c>
      <c r="B328" s="62" t="s">
        <v>366</v>
      </c>
      <c r="C328" s="63"/>
      <c r="D328" s="64"/>
      <c r="E328" s="65"/>
      <c r="F328" s="66"/>
      <c r="G328" s="63"/>
      <c r="H328" s="67"/>
      <c r="I328" s="68"/>
      <c r="J328" s="68"/>
      <c r="K328" s="32"/>
      <c r="L328" s="75">
        <v>328</v>
      </c>
      <c r="M328" s="75"/>
      <c r="N328" s="70"/>
      <c r="O328" s="77" t="s">
        <v>179</v>
      </c>
      <c r="P328" s="79">
        <v>45039.13484953704</v>
      </c>
      <c r="Q328" s="77" t="s">
        <v>910</v>
      </c>
      <c r="R328" s="77">
        <v>0</v>
      </c>
      <c r="S328" s="77">
        <v>0</v>
      </c>
      <c r="T328" s="77">
        <v>0</v>
      </c>
      <c r="U328" s="77">
        <v>0</v>
      </c>
      <c r="V328" s="77">
        <v>48</v>
      </c>
      <c r="W328" s="82" t="s">
        <v>1748</v>
      </c>
      <c r="X328" s="77"/>
      <c r="Y328" s="77"/>
      <c r="Z328" s="77"/>
      <c r="AA328" s="77" t="s">
        <v>2438</v>
      </c>
      <c r="AB328" s="77" t="s">
        <v>2713</v>
      </c>
      <c r="AC328" s="82" t="s">
        <v>2722</v>
      </c>
      <c r="AD328" s="77" t="s">
        <v>2752</v>
      </c>
      <c r="AE328" s="80" t="str">
        <f>HYPERLINK("https://twitter.com/dominvestidor/status/1649974924558073857")</f>
        <v>https://twitter.com/dominvestidor/status/1649974924558073857</v>
      </c>
      <c r="AF328" s="79">
        <v>45039.13484953704</v>
      </c>
      <c r="AG328" s="85">
        <v>45039</v>
      </c>
      <c r="AH328" s="82" t="s">
        <v>3084</v>
      </c>
      <c r="AI328" s="77" t="b">
        <v>0</v>
      </c>
      <c r="AJ328" s="77"/>
      <c r="AK328" s="77"/>
      <c r="AL328" s="77"/>
      <c r="AM328" s="77"/>
      <c r="AN328" s="77"/>
      <c r="AO328" s="77"/>
      <c r="AP328" s="77"/>
      <c r="AQ328" s="77" t="s">
        <v>4064</v>
      </c>
      <c r="AR328" s="77">
        <v>31965</v>
      </c>
      <c r="AS328" s="77"/>
      <c r="AT328" s="77"/>
      <c r="AU328" s="77"/>
      <c r="AV328" s="80" t="str">
        <f>HYPERLINK("https://pbs.twimg.com/ext_tw_video_thumb/1649974800192876544/pu/img/adlmPkfFq6RVugHX.jpg")</f>
        <v>https://pbs.twimg.com/ext_tw_video_thumb/1649974800192876544/pu/img/adlmPkfFq6RVugHX.jpg</v>
      </c>
      <c r="AW328" s="82" t="s">
        <v>4662</v>
      </c>
      <c r="AX328" s="82" t="s">
        <v>4662</v>
      </c>
      <c r="AY328" s="77"/>
      <c r="AZ328" s="82" t="s">
        <v>5615</v>
      </c>
      <c r="BA328" s="82" t="s">
        <v>5615</v>
      </c>
      <c r="BB328" s="82" t="s">
        <v>5615</v>
      </c>
      <c r="BC328" s="82" t="s">
        <v>4662</v>
      </c>
      <c r="BD328" s="82" t="s">
        <v>5957</v>
      </c>
      <c r="BE328" s="77"/>
      <c r="BF328" s="77"/>
      <c r="BG328" s="77"/>
      <c r="BH328" s="77"/>
      <c r="BI328" s="77"/>
    </row>
    <row r="329" spans="1:61" x14ac:dyDescent="0.25">
      <c r="A329" s="62" t="s">
        <v>367</v>
      </c>
      <c r="B329" s="62" t="s">
        <v>367</v>
      </c>
      <c r="C329" s="63"/>
      <c r="D329" s="64"/>
      <c r="E329" s="65"/>
      <c r="F329" s="66"/>
      <c r="G329" s="63"/>
      <c r="H329" s="67"/>
      <c r="I329" s="68"/>
      <c r="J329" s="68"/>
      <c r="K329" s="32"/>
      <c r="L329" s="75">
        <v>329</v>
      </c>
      <c r="M329" s="75"/>
      <c r="N329" s="70"/>
      <c r="O329" s="77" t="s">
        <v>179</v>
      </c>
      <c r="P329" s="79">
        <v>45019.180555555555</v>
      </c>
      <c r="Q329" s="77" t="s">
        <v>911</v>
      </c>
      <c r="R329" s="77">
        <v>0</v>
      </c>
      <c r="S329" s="77">
        <v>0</v>
      </c>
      <c r="T329" s="77">
        <v>0</v>
      </c>
      <c r="U329" s="77">
        <v>0</v>
      </c>
      <c r="V329" s="77">
        <v>5</v>
      </c>
      <c r="W329" s="82" t="s">
        <v>1749</v>
      </c>
      <c r="X329" s="77"/>
      <c r="Y329" s="77"/>
      <c r="Z329" s="77"/>
      <c r="AA329" s="77" t="s">
        <v>2439</v>
      </c>
      <c r="AB329" s="77" t="s">
        <v>2714</v>
      </c>
      <c r="AC329" s="82" t="s">
        <v>2722</v>
      </c>
      <c r="AD329" s="77" t="s">
        <v>2761</v>
      </c>
      <c r="AE329" s="80" t="str">
        <f>HYPERLINK("https://twitter.com/gfmillionaerin/status/1642743728204021764")</f>
        <v>https://twitter.com/gfmillionaerin/status/1642743728204021764</v>
      </c>
      <c r="AF329" s="79">
        <v>45019.180555555555</v>
      </c>
      <c r="AG329" s="85">
        <v>45019</v>
      </c>
      <c r="AH329" s="82" t="s">
        <v>3085</v>
      </c>
      <c r="AI329" s="77" t="b">
        <v>0</v>
      </c>
      <c r="AJ329" s="77"/>
      <c r="AK329" s="77"/>
      <c r="AL329" s="77"/>
      <c r="AM329" s="77"/>
      <c r="AN329" s="77"/>
      <c r="AO329" s="77"/>
      <c r="AP329" s="77"/>
      <c r="AQ329" s="77" t="s">
        <v>4065</v>
      </c>
      <c r="AR329" s="77"/>
      <c r="AS329" s="77"/>
      <c r="AT329" s="77"/>
      <c r="AU329" s="77"/>
      <c r="AV329" s="80" t="str">
        <f>HYPERLINK("https://pbs.twimg.com/media/Fsn4g-LXwAANUu0.jpg")</f>
        <v>https://pbs.twimg.com/media/Fsn4g-LXwAANUu0.jpg</v>
      </c>
      <c r="AW329" s="82" t="s">
        <v>4663</v>
      </c>
      <c r="AX329" s="82" t="s">
        <v>4663</v>
      </c>
      <c r="AY329" s="77"/>
      <c r="AZ329" s="82" t="s">
        <v>5615</v>
      </c>
      <c r="BA329" s="82" t="s">
        <v>5615</v>
      </c>
      <c r="BB329" s="82" t="s">
        <v>5615</v>
      </c>
      <c r="BC329" s="82" t="s">
        <v>4663</v>
      </c>
      <c r="BD329" s="82" t="s">
        <v>5958</v>
      </c>
      <c r="BE329" s="77"/>
      <c r="BF329" s="77"/>
      <c r="BG329" s="77"/>
      <c r="BH329" s="77"/>
      <c r="BI329" s="77"/>
    </row>
    <row r="330" spans="1:61" x14ac:dyDescent="0.25">
      <c r="A330" s="62" t="s">
        <v>368</v>
      </c>
      <c r="B330" s="62" t="s">
        <v>368</v>
      </c>
      <c r="C330" s="63"/>
      <c r="D330" s="64"/>
      <c r="E330" s="65"/>
      <c r="F330" s="66"/>
      <c r="G330" s="63"/>
      <c r="H330" s="67"/>
      <c r="I330" s="68"/>
      <c r="J330" s="68"/>
      <c r="K330" s="32"/>
      <c r="L330" s="75">
        <v>330</v>
      </c>
      <c r="M330" s="75"/>
      <c r="N330" s="70"/>
      <c r="O330" s="77" t="s">
        <v>179</v>
      </c>
      <c r="P330" s="79">
        <v>44928.015509259261</v>
      </c>
      <c r="Q330" s="77" t="s">
        <v>912</v>
      </c>
      <c r="R330" s="77">
        <v>0</v>
      </c>
      <c r="S330" s="77">
        <v>0</v>
      </c>
      <c r="T330" s="77">
        <v>0</v>
      </c>
      <c r="U330" s="77">
        <v>0</v>
      </c>
      <c r="V330" s="77">
        <v>17</v>
      </c>
      <c r="W330" s="82" t="s">
        <v>1750</v>
      </c>
      <c r="X330" s="80" t="str">
        <f>HYPERLINK("https://www.youtube.com/@miguelnogueira7802/videos")</f>
        <v>https://www.youtube.com/@miguelnogueira7802/videos</v>
      </c>
      <c r="Y330" s="77" t="s">
        <v>2140</v>
      </c>
      <c r="Z330" s="77"/>
      <c r="AA330" s="77"/>
      <c r="AB330" s="77"/>
      <c r="AC330" s="82" t="s">
        <v>2722</v>
      </c>
      <c r="AD330" s="77" t="s">
        <v>2752</v>
      </c>
      <c r="AE330" s="80" t="str">
        <f>HYPERLINK("https://twitter.com/rebeliaocryptos/status/1609706621298511872")</f>
        <v>https://twitter.com/rebeliaocryptos/status/1609706621298511872</v>
      </c>
      <c r="AF330" s="79">
        <v>44928.015509259261</v>
      </c>
      <c r="AG330" s="85">
        <v>44928</v>
      </c>
      <c r="AH330" s="82" t="s">
        <v>3086</v>
      </c>
      <c r="AI330" s="77" t="b">
        <v>0</v>
      </c>
      <c r="AJ330" s="77"/>
      <c r="AK330" s="77"/>
      <c r="AL330" s="77"/>
      <c r="AM330" s="77"/>
      <c r="AN330" s="77"/>
      <c r="AO330" s="77"/>
      <c r="AP330" s="77"/>
      <c r="AQ330" s="77"/>
      <c r="AR330" s="77"/>
      <c r="AS330" s="77"/>
      <c r="AT330" s="77"/>
      <c r="AU330" s="77"/>
      <c r="AV330" s="80" t="str">
        <f>HYPERLINK("https://pbs.twimg.com/profile_images/1597661867991760898/0zu-YDon_normal.jpg")</f>
        <v>https://pbs.twimg.com/profile_images/1597661867991760898/0zu-YDon_normal.jpg</v>
      </c>
      <c r="AW330" s="82" t="s">
        <v>4664</v>
      </c>
      <c r="AX330" s="82" t="s">
        <v>4664</v>
      </c>
      <c r="AY330" s="77"/>
      <c r="AZ330" s="82" t="s">
        <v>5615</v>
      </c>
      <c r="BA330" s="82" t="s">
        <v>5615</v>
      </c>
      <c r="BB330" s="82" t="s">
        <v>5615</v>
      </c>
      <c r="BC330" s="82" t="s">
        <v>4664</v>
      </c>
      <c r="BD330" s="82" t="s">
        <v>5959</v>
      </c>
      <c r="BE330" s="77"/>
      <c r="BF330" s="77"/>
      <c r="BG330" s="77"/>
      <c r="BH330" s="77"/>
      <c r="BI330" s="77"/>
    </row>
    <row r="331" spans="1:61" x14ac:dyDescent="0.25">
      <c r="A331" s="62" t="s">
        <v>368</v>
      </c>
      <c r="B331" s="62" t="s">
        <v>368</v>
      </c>
      <c r="C331" s="63"/>
      <c r="D331" s="64"/>
      <c r="E331" s="65"/>
      <c r="F331" s="66"/>
      <c r="G331" s="63"/>
      <c r="H331" s="67"/>
      <c r="I331" s="68"/>
      <c r="J331" s="68"/>
      <c r="K331" s="32"/>
      <c r="L331" s="75">
        <v>331</v>
      </c>
      <c r="M331" s="75"/>
      <c r="N331" s="70"/>
      <c r="O331" s="77" t="s">
        <v>179</v>
      </c>
      <c r="P331" s="79">
        <v>45006.561006944445</v>
      </c>
      <c r="Q331" s="77" t="s">
        <v>913</v>
      </c>
      <c r="R331" s="77">
        <v>0</v>
      </c>
      <c r="S331" s="77">
        <v>1</v>
      </c>
      <c r="T331" s="77">
        <v>0</v>
      </c>
      <c r="U331" s="77">
        <v>0</v>
      </c>
      <c r="V331" s="77">
        <v>26</v>
      </c>
      <c r="W331" s="82" t="s">
        <v>1751</v>
      </c>
      <c r="X331" s="80" t="str">
        <f>HYPERLINK("https://www.instagram.com/reel/CpuxlO0gOZM/?utm_source=ig_web_button_share_sheet")</f>
        <v>https://www.instagram.com/reel/CpuxlO0gOZM/?utm_source=ig_web_button_share_sheet</v>
      </c>
      <c r="Y331" s="77" t="s">
        <v>2130</v>
      </c>
      <c r="Z331" s="77"/>
      <c r="AA331" s="77"/>
      <c r="AB331" s="77"/>
      <c r="AC331" s="82" t="s">
        <v>2722</v>
      </c>
      <c r="AD331" s="77" t="s">
        <v>2752</v>
      </c>
      <c r="AE331" s="80" t="str">
        <f>HYPERLINK("https://twitter.com/rebeliaocryptos/status/1638170556733493253")</f>
        <v>https://twitter.com/rebeliaocryptos/status/1638170556733493253</v>
      </c>
      <c r="AF331" s="79">
        <v>45006.561006944445</v>
      </c>
      <c r="AG331" s="85">
        <v>45006</v>
      </c>
      <c r="AH331" s="82" t="s">
        <v>3087</v>
      </c>
      <c r="AI331" s="77" t="b">
        <v>0</v>
      </c>
      <c r="AJ331" s="77"/>
      <c r="AK331" s="77"/>
      <c r="AL331" s="77"/>
      <c r="AM331" s="77"/>
      <c r="AN331" s="77"/>
      <c r="AO331" s="77"/>
      <c r="AP331" s="77"/>
      <c r="AQ331" s="77"/>
      <c r="AR331" s="77"/>
      <c r="AS331" s="77"/>
      <c r="AT331" s="77"/>
      <c r="AU331" s="77"/>
      <c r="AV331" s="80" t="str">
        <f>HYPERLINK("https://pbs.twimg.com/profile_images/1597661867991760898/0zu-YDon_normal.jpg")</f>
        <v>https://pbs.twimg.com/profile_images/1597661867991760898/0zu-YDon_normal.jpg</v>
      </c>
      <c r="AW331" s="82" t="s">
        <v>4665</v>
      </c>
      <c r="AX331" s="82" t="s">
        <v>4665</v>
      </c>
      <c r="AY331" s="77"/>
      <c r="AZ331" s="82" t="s">
        <v>5615</v>
      </c>
      <c r="BA331" s="82" t="s">
        <v>5615</v>
      </c>
      <c r="BB331" s="82" t="s">
        <v>5615</v>
      </c>
      <c r="BC331" s="82" t="s">
        <v>4665</v>
      </c>
      <c r="BD331" s="82" t="s">
        <v>5959</v>
      </c>
      <c r="BE331" s="77"/>
      <c r="BF331" s="77"/>
      <c r="BG331" s="77"/>
      <c r="BH331" s="77"/>
      <c r="BI331" s="77"/>
    </row>
    <row r="332" spans="1:61" x14ac:dyDescent="0.25">
      <c r="A332" s="62" t="s">
        <v>368</v>
      </c>
      <c r="B332" s="62" t="s">
        <v>567</v>
      </c>
      <c r="C332" s="63"/>
      <c r="D332" s="64"/>
      <c r="E332" s="65"/>
      <c r="F332" s="66"/>
      <c r="G332" s="63"/>
      <c r="H332" s="67"/>
      <c r="I332" s="68"/>
      <c r="J332" s="68"/>
      <c r="K332" s="32"/>
      <c r="L332" s="75">
        <v>332</v>
      </c>
      <c r="M332" s="75"/>
      <c r="N332" s="70"/>
      <c r="O332" s="77" t="s">
        <v>586</v>
      </c>
      <c r="P332" s="79">
        <v>45036.48228009259</v>
      </c>
      <c r="Q332" s="77" t="s">
        <v>914</v>
      </c>
      <c r="R332" s="77">
        <v>0</v>
      </c>
      <c r="S332" s="77">
        <v>0</v>
      </c>
      <c r="T332" s="77">
        <v>0</v>
      </c>
      <c r="U332" s="77">
        <v>0</v>
      </c>
      <c r="V332" s="77">
        <v>15</v>
      </c>
      <c r="W332" s="82" t="s">
        <v>1752</v>
      </c>
      <c r="X332" s="80" t="str">
        <f>HYPERLINK("https://youtu.be/rSt74HhjNDU")</f>
        <v>https://youtu.be/rSt74HhjNDU</v>
      </c>
      <c r="Y332" s="77" t="s">
        <v>2153</v>
      </c>
      <c r="Z332" s="77" t="s">
        <v>567</v>
      </c>
      <c r="AA332" s="77"/>
      <c r="AB332" s="77"/>
      <c r="AC332" s="82" t="s">
        <v>2722</v>
      </c>
      <c r="AD332" s="77" t="s">
        <v>2762</v>
      </c>
      <c r="AE332" s="80" t="str">
        <f>HYPERLINK("https://twitter.com/rebeliaocryptos/status/1649013663813058560")</f>
        <v>https://twitter.com/rebeliaocryptos/status/1649013663813058560</v>
      </c>
      <c r="AF332" s="79">
        <v>45036.48228009259</v>
      </c>
      <c r="AG332" s="85">
        <v>45036</v>
      </c>
      <c r="AH332" s="82" t="s">
        <v>3088</v>
      </c>
      <c r="AI332" s="77" t="b">
        <v>0</v>
      </c>
      <c r="AJ332" s="77"/>
      <c r="AK332" s="77"/>
      <c r="AL332" s="77"/>
      <c r="AM332" s="77"/>
      <c r="AN332" s="77"/>
      <c r="AO332" s="77"/>
      <c r="AP332" s="77"/>
      <c r="AQ332" s="77"/>
      <c r="AR332" s="77"/>
      <c r="AS332" s="77"/>
      <c r="AT332" s="77"/>
      <c r="AU332" s="77"/>
      <c r="AV332" s="80" t="str">
        <f>HYPERLINK("https://pbs.twimg.com/profile_images/1597661867991760898/0zu-YDon_normal.jpg")</f>
        <v>https://pbs.twimg.com/profile_images/1597661867991760898/0zu-YDon_normal.jpg</v>
      </c>
      <c r="AW332" s="82" t="s">
        <v>4666</v>
      </c>
      <c r="AX332" s="82" t="s">
        <v>4666</v>
      </c>
      <c r="AY332" s="77"/>
      <c r="AZ332" s="82" t="s">
        <v>5615</v>
      </c>
      <c r="BA332" s="82" t="s">
        <v>5615</v>
      </c>
      <c r="BB332" s="82" t="s">
        <v>5615</v>
      </c>
      <c r="BC332" s="82" t="s">
        <v>4666</v>
      </c>
      <c r="BD332" s="82" t="s">
        <v>5959</v>
      </c>
      <c r="BE332" s="77"/>
      <c r="BF332" s="77"/>
      <c r="BG332" s="77"/>
      <c r="BH332" s="77"/>
      <c r="BI332" s="77"/>
    </row>
    <row r="333" spans="1:61" x14ac:dyDescent="0.25">
      <c r="A333" s="62" t="s">
        <v>368</v>
      </c>
      <c r="B333" s="62" t="s">
        <v>567</v>
      </c>
      <c r="C333" s="63"/>
      <c r="D333" s="64"/>
      <c r="E333" s="65"/>
      <c r="F333" s="66"/>
      <c r="G333" s="63"/>
      <c r="H333" s="67"/>
      <c r="I333" s="68"/>
      <c r="J333" s="68"/>
      <c r="K333" s="32"/>
      <c r="L333" s="75">
        <v>333</v>
      </c>
      <c r="M333" s="75"/>
      <c r="N333" s="70"/>
      <c r="O333" s="77" t="s">
        <v>586</v>
      </c>
      <c r="P333" s="79">
        <v>44936.035509259258</v>
      </c>
      <c r="Q333" s="77" t="s">
        <v>915</v>
      </c>
      <c r="R333" s="77">
        <v>0</v>
      </c>
      <c r="S333" s="77">
        <v>0</v>
      </c>
      <c r="T333" s="77">
        <v>2</v>
      </c>
      <c r="U333" s="77">
        <v>0</v>
      </c>
      <c r="V333" s="77">
        <v>14</v>
      </c>
      <c r="W333" s="82" t="s">
        <v>1753</v>
      </c>
      <c r="X333" s="80" t="str">
        <f>HYPERLINK("https://youtu.be/KnDGiaf6Zd0")</f>
        <v>https://youtu.be/KnDGiaf6Zd0</v>
      </c>
      <c r="Y333" s="77" t="s">
        <v>2153</v>
      </c>
      <c r="Z333" s="77" t="s">
        <v>567</v>
      </c>
      <c r="AA333" s="77"/>
      <c r="AB333" s="77"/>
      <c r="AC333" s="82" t="s">
        <v>2722</v>
      </c>
      <c r="AD333" s="77" t="s">
        <v>2752</v>
      </c>
      <c r="AE333" s="80" t="str">
        <f>HYPERLINK("https://twitter.com/rebeliaocryptos/status/1612612975310917632")</f>
        <v>https://twitter.com/rebeliaocryptos/status/1612612975310917632</v>
      </c>
      <c r="AF333" s="79">
        <v>44936.035509259258</v>
      </c>
      <c r="AG333" s="85">
        <v>44936</v>
      </c>
      <c r="AH333" s="82" t="s">
        <v>3089</v>
      </c>
      <c r="AI333" s="77" t="b">
        <v>0</v>
      </c>
      <c r="AJ333" s="77"/>
      <c r="AK333" s="77"/>
      <c r="AL333" s="77"/>
      <c r="AM333" s="77"/>
      <c r="AN333" s="77"/>
      <c r="AO333" s="77"/>
      <c r="AP333" s="77"/>
      <c r="AQ333" s="77"/>
      <c r="AR333" s="77"/>
      <c r="AS333" s="77"/>
      <c r="AT333" s="77"/>
      <c r="AU333" s="77"/>
      <c r="AV333" s="80" t="str">
        <f>HYPERLINK("https://pbs.twimg.com/profile_images/1597661867991760898/0zu-YDon_normal.jpg")</f>
        <v>https://pbs.twimg.com/profile_images/1597661867991760898/0zu-YDon_normal.jpg</v>
      </c>
      <c r="AW333" s="82" t="s">
        <v>4667</v>
      </c>
      <c r="AX333" s="82" t="s">
        <v>4667</v>
      </c>
      <c r="AY333" s="77"/>
      <c r="AZ333" s="82" t="s">
        <v>5615</v>
      </c>
      <c r="BA333" s="82" t="s">
        <v>5615</v>
      </c>
      <c r="BB333" s="82" t="s">
        <v>5615</v>
      </c>
      <c r="BC333" s="82" t="s">
        <v>4667</v>
      </c>
      <c r="BD333" s="82" t="s">
        <v>5959</v>
      </c>
      <c r="BE333" s="77"/>
      <c r="BF333" s="77"/>
      <c r="BG333" s="77"/>
      <c r="BH333" s="77"/>
      <c r="BI333" s="77"/>
    </row>
    <row r="334" spans="1:61" x14ac:dyDescent="0.25">
      <c r="A334" s="62" t="s">
        <v>368</v>
      </c>
      <c r="B334" s="62" t="s">
        <v>368</v>
      </c>
      <c r="C334" s="63"/>
      <c r="D334" s="64"/>
      <c r="E334" s="65"/>
      <c r="F334" s="66"/>
      <c r="G334" s="63"/>
      <c r="H334" s="67"/>
      <c r="I334" s="68"/>
      <c r="J334" s="68"/>
      <c r="K334" s="32"/>
      <c r="L334" s="75">
        <v>334</v>
      </c>
      <c r="M334" s="75"/>
      <c r="N334" s="70"/>
      <c r="O334" s="77" t="s">
        <v>179</v>
      </c>
      <c r="P334" s="79">
        <v>45091.028622685182</v>
      </c>
      <c r="Q334" s="77" t="s">
        <v>916</v>
      </c>
      <c r="R334" s="77">
        <v>0</v>
      </c>
      <c r="S334" s="77">
        <v>0</v>
      </c>
      <c r="T334" s="77">
        <v>0</v>
      </c>
      <c r="U334" s="77">
        <v>0</v>
      </c>
      <c r="V334" s="77">
        <v>19</v>
      </c>
      <c r="W334" s="82" t="s">
        <v>1754</v>
      </c>
      <c r="X334" s="77" t="s">
        <v>2123</v>
      </c>
      <c r="Y334" s="77" t="s">
        <v>2156</v>
      </c>
      <c r="Z334" s="77"/>
      <c r="AA334" s="77"/>
      <c r="AB334" s="77"/>
      <c r="AC334" s="82" t="s">
        <v>2719</v>
      </c>
      <c r="AD334" s="77" t="s">
        <v>2752</v>
      </c>
      <c r="AE334" s="80" t="str">
        <f>HYPERLINK("https://twitter.com/rebeliaocryptos/status/1668780598884704256")</f>
        <v>https://twitter.com/rebeliaocryptos/status/1668780598884704256</v>
      </c>
      <c r="AF334" s="79">
        <v>45091.028622685182</v>
      </c>
      <c r="AG334" s="85">
        <v>45091</v>
      </c>
      <c r="AH334" s="82" t="s">
        <v>3090</v>
      </c>
      <c r="AI334" s="77" t="b">
        <v>0</v>
      </c>
      <c r="AJ334" s="77"/>
      <c r="AK334" s="77"/>
      <c r="AL334" s="77"/>
      <c r="AM334" s="77"/>
      <c r="AN334" s="77"/>
      <c r="AO334" s="77"/>
      <c r="AP334" s="77"/>
      <c r="AQ334" s="77"/>
      <c r="AR334" s="77"/>
      <c r="AS334" s="77"/>
      <c r="AT334" s="77"/>
      <c r="AU334" s="77"/>
      <c r="AV334" s="80" t="str">
        <f>HYPERLINK("https://pbs.twimg.com/profile_images/1597661867991760898/0zu-YDon_normal.jpg")</f>
        <v>https://pbs.twimg.com/profile_images/1597661867991760898/0zu-YDon_normal.jpg</v>
      </c>
      <c r="AW334" s="82" t="s">
        <v>4668</v>
      </c>
      <c r="AX334" s="82" t="s">
        <v>4668</v>
      </c>
      <c r="AY334" s="77"/>
      <c r="AZ334" s="82" t="s">
        <v>5615</v>
      </c>
      <c r="BA334" s="82" t="s">
        <v>5615</v>
      </c>
      <c r="BB334" s="82" t="s">
        <v>5615</v>
      </c>
      <c r="BC334" s="82" t="s">
        <v>4668</v>
      </c>
      <c r="BD334" s="82" t="s">
        <v>5959</v>
      </c>
      <c r="BE334" s="77"/>
      <c r="BF334" s="77"/>
      <c r="BG334" s="77"/>
      <c r="BH334" s="77"/>
      <c r="BI334" s="77"/>
    </row>
    <row r="335" spans="1:61" x14ac:dyDescent="0.25">
      <c r="A335" s="62" t="s">
        <v>368</v>
      </c>
      <c r="B335" s="62" t="s">
        <v>567</v>
      </c>
      <c r="C335" s="63"/>
      <c r="D335" s="64"/>
      <c r="E335" s="65"/>
      <c r="F335" s="66"/>
      <c r="G335" s="63"/>
      <c r="H335" s="67"/>
      <c r="I335" s="68"/>
      <c r="J335" s="68"/>
      <c r="K335" s="32"/>
      <c r="L335" s="75">
        <v>335</v>
      </c>
      <c r="M335" s="75"/>
      <c r="N335" s="70"/>
      <c r="O335" s="77" t="s">
        <v>586</v>
      </c>
      <c r="P335" s="79">
        <v>45135.895185185182</v>
      </c>
      <c r="Q335" s="77" t="s">
        <v>917</v>
      </c>
      <c r="R335" s="77">
        <v>0</v>
      </c>
      <c r="S335" s="77">
        <v>0</v>
      </c>
      <c r="T335" s="77">
        <v>3</v>
      </c>
      <c r="U335" s="77">
        <v>0</v>
      </c>
      <c r="V335" s="77">
        <v>24</v>
      </c>
      <c r="W335" s="82" t="s">
        <v>1755</v>
      </c>
      <c r="X335" s="80" t="str">
        <f>HYPERLINK("https://youtu.be/FA2sn03RQ2s")</f>
        <v>https://youtu.be/FA2sn03RQ2s</v>
      </c>
      <c r="Y335" s="77" t="s">
        <v>2153</v>
      </c>
      <c r="Z335" s="77" t="s">
        <v>567</v>
      </c>
      <c r="AA335" s="77"/>
      <c r="AB335" s="77"/>
      <c r="AC335" s="82" t="s">
        <v>2722</v>
      </c>
      <c r="AD335" s="77" t="s">
        <v>2752</v>
      </c>
      <c r="AE335" s="80" t="str">
        <f>HYPERLINK("https://twitter.com/rebeliaocryptos/status/1685039693912584193")</f>
        <v>https://twitter.com/rebeliaocryptos/status/1685039693912584193</v>
      </c>
      <c r="AF335" s="79">
        <v>45135.895185185182</v>
      </c>
      <c r="AG335" s="85">
        <v>45135</v>
      </c>
      <c r="AH335" s="82" t="s">
        <v>3091</v>
      </c>
      <c r="AI335" s="77" t="b">
        <v>0</v>
      </c>
      <c r="AJ335" s="77"/>
      <c r="AK335" s="77"/>
      <c r="AL335" s="77"/>
      <c r="AM335" s="77"/>
      <c r="AN335" s="77"/>
      <c r="AO335" s="77"/>
      <c r="AP335" s="77"/>
      <c r="AQ335" s="77"/>
      <c r="AR335" s="77"/>
      <c r="AS335" s="77"/>
      <c r="AT335" s="77"/>
      <c r="AU335" s="77"/>
      <c r="AV335" s="80" t="str">
        <f>HYPERLINK("https://pbs.twimg.com/profile_images/1597661867991760898/0zu-YDon_normal.jpg")</f>
        <v>https://pbs.twimg.com/profile_images/1597661867991760898/0zu-YDon_normal.jpg</v>
      </c>
      <c r="AW335" s="82" t="s">
        <v>4669</v>
      </c>
      <c r="AX335" s="82" t="s">
        <v>4669</v>
      </c>
      <c r="AY335" s="77"/>
      <c r="AZ335" s="82" t="s">
        <v>5615</v>
      </c>
      <c r="BA335" s="82" t="s">
        <v>5615</v>
      </c>
      <c r="BB335" s="82" t="s">
        <v>5615</v>
      </c>
      <c r="BC335" s="82" t="s">
        <v>4669</v>
      </c>
      <c r="BD335" s="82" t="s">
        <v>5959</v>
      </c>
      <c r="BE335" s="77"/>
      <c r="BF335" s="77"/>
      <c r="BG335" s="77"/>
      <c r="BH335" s="77"/>
      <c r="BI335" s="77"/>
    </row>
    <row r="336" spans="1:61" x14ac:dyDescent="0.25">
      <c r="A336" s="62" t="s">
        <v>368</v>
      </c>
      <c r="B336" s="62" t="s">
        <v>567</v>
      </c>
      <c r="C336" s="63"/>
      <c r="D336" s="64"/>
      <c r="E336" s="65"/>
      <c r="F336" s="66"/>
      <c r="G336" s="63"/>
      <c r="H336" s="67"/>
      <c r="I336" s="68"/>
      <c r="J336" s="68"/>
      <c r="K336" s="32"/>
      <c r="L336" s="75">
        <v>336</v>
      </c>
      <c r="M336" s="75"/>
      <c r="N336" s="70"/>
      <c r="O336" s="77" t="s">
        <v>586</v>
      </c>
      <c r="P336" s="79">
        <v>45017.721574074072</v>
      </c>
      <c r="Q336" s="77" t="s">
        <v>918</v>
      </c>
      <c r="R336" s="77">
        <v>0</v>
      </c>
      <c r="S336" s="77">
        <v>1</v>
      </c>
      <c r="T336" s="77">
        <v>2</v>
      </c>
      <c r="U336" s="77">
        <v>0</v>
      </c>
      <c r="V336" s="77">
        <v>25</v>
      </c>
      <c r="W336" s="82" t="s">
        <v>1756</v>
      </c>
      <c r="X336" s="80" t="str">
        <f>HYPERLINK("https://youtu.be/ap42LrBipL4")</f>
        <v>https://youtu.be/ap42LrBipL4</v>
      </c>
      <c r="Y336" s="77" t="s">
        <v>2153</v>
      </c>
      <c r="Z336" s="77" t="s">
        <v>567</v>
      </c>
      <c r="AA336" s="77"/>
      <c r="AB336" s="77"/>
      <c r="AC336" s="82" t="s">
        <v>2722</v>
      </c>
      <c r="AD336" s="77" t="s">
        <v>2752</v>
      </c>
      <c r="AE336" s="80" t="str">
        <f>HYPERLINK("https://twitter.com/rebeliaocryptos/status/1642215011811577861")</f>
        <v>https://twitter.com/rebeliaocryptos/status/1642215011811577861</v>
      </c>
      <c r="AF336" s="79">
        <v>45017.721574074072</v>
      </c>
      <c r="AG336" s="85">
        <v>45017</v>
      </c>
      <c r="AH336" s="82" t="s">
        <v>3092</v>
      </c>
      <c r="AI336" s="77" t="b">
        <v>0</v>
      </c>
      <c r="AJ336" s="77"/>
      <c r="AK336" s="77"/>
      <c r="AL336" s="77"/>
      <c r="AM336" s="77"/>
      <c r="AN336" s="77"/>
      <c r="AO336" s="77"/>
      <c r="AP336" s="77"/>
      <c r="AQ336" s="77"/>
      <c r="AR336" s="77"/>
      <c r="AS336" s="77"/>
      <c r="AT336" s="77"/>
      <c r="AU336" s="77"/>
      <c r="AV336" s="80" t="str">
        <f>HYPERLINK("https://pbs.twimg.com/profile_images/1597661867991760898/0zu-YDon_normal.jpg")</f>
        <v>https://pbs.twimg.com/profile_images/1597661867991760898/0zu-YDon_normal.jpg</v>
      </c>
      <c r="AW336" s="82" t="s">
        <v>4670</v>
      </c>
      <c r="AX336" s="82" t="s">
        <v>4670</v>
      </c>
      <c r="AY336" s="77"/>
      <c r="AZ336" s="82" t="s">
        <v>5615</v>
      </c>
      <c r="BA336" s="82" t="s">
        <v>5615</v>
      </c>
      <c r="BB336" s="82" t="s">
        <v>5615</v>
      </c>
      <c r="BC336" s="82" t="s">
        <v>4670</v>
      </c>
      <c r="BD336" s="82" t="s">
        <v>5959</v>
      </c>
      <c r="BE336" s="77"/>
      <c r="BF336" s="77"/>
      <c r="BG336" s="77"/>
      <c r="BH336" s="77"/>
      <c r="BI336" s="77"/>
    </row>
    <row r="337" spans="1:61" x14ac:dyDescent="0.25">
      <c r="A337" s="62" t="s">
        <v>369</v>
      </c>
      <c r="B337" s="62" t="s">
        <v>369</v>
      </c>
      <c r="C337" s="63"/>
      <c r="D337" s="64"/>
      <c r="E337" s="65"/>
      <c r="F337" s="66"/>
      <c r="G337" s="63"/>
      <c r="H337" s="67"/>
      <c r="I337" s="68"/>
      <c r="J337" s="68"/>
      <c r="K337" s="32"/>
      <c r="L337" s="75">
        <v>337</v>
      </c>
      <c r="M337" s="75"/>
      <c r="N337" s="70"/>
      <c r="O337" s="77" t="s">
        <v>583</v>
      </c>
      <c r="P337" s="79">
        <v>45104.66609953704</v>
      </c>
      <c r="Q337" s="77" t="s">
        <v>919</v>
      </c>
      <c r="R337" s="77">
        <v>0</v>
      </c>
      <c r="S337" s="77">
        <v>0</v>
      </c>
      <c r="T337" s="77">
        <v>0</v>
      </c>
      <c r="U337" s="77">
        <v>0</v>
      </c>
      <c r="V337" s="77">
        <v>59</v>
      </c>
      <c r="W337" s="82" t="s">
        <v>1563</v>
      </c>
      <c r="X337" s="77"/>
      <c r="Y337" s="77"/>
      <c r="Z337" s="77"/>
      <c r="AA337" s="77"/>
      <c r="AB337" s="77"/>
      <c r="AC337" s="82" t="s">
        <v>2719</v>
      </c>
      <c r="AD337" s="77" t="s">
        <v>2752</v>
      </c>
      <c r="AE337" s="80" t="str">
        <f>HYPERLINK("https://twitter.com/flaviam14759869/status/1673722654111457281")</f>
        <v>https://twitter.com/flaviam14759869/status/1673722654111457281</v>
      </c>
      <c r="AF337" s="79">
        <v>45104.66609953704</v>
      </c>
      <c r="AG337" s="85">
        <v>45104</v>
      </c>
      <c r="AH337" s="82" t="s">
        <v>3093</v>
      </c>
      <c r="AI337" s="77"/>
      <c r="AJ337" s="77"/>
      <c r="AK337" s="77"/>
      <c r="AL337" s="77"/>
      <c r="AM337" s="77"/>
      <c r="AN337" s="77"/>
      <c r="AO337" s="77"/>
      <c r="AP337" s="77"/>
      <c r="AQ337" s="77"/>
      <c r="AR337" s="77"/>
      <c r="AS337" s="77"/>
      <c r="AT337" s="77"/>
      <c r="AU337" s="77"/>
      <c r="AV337" s="80" t="str">
        <f>HYPERLINK("https://pbs.twimg.com/profile_images/1432142685389864964/5T_itBVR_normal.jpg")</f>
        <v>https://pbs.twimg.com/profile_images/1432142685389864964/5T_itBVR_normal.jpg</v>
      </c>
      <c r="AW337" s="82" t="s">
        <v>4671</v>
      </c>
      <c r="AX337" s="82" t="s">
        <v>5337</v>
      </c>
      <c r="AY337" s="82" t="s">
        <v>5590</v>
      </c>
      <c r="AZ337" s="82" t="s">
        <v>5337</v>
      </c>
      <c r="BA337" s="82" t="s">
        <v>5615</v>
      </c>
      <c r="BB337" s="82" t="s">
        <v>5615</v>
      </c>
      <c r="BC337" s="82" t="s">
        <v>5337</v>
      </c>
      <c r="BD337" s="82" t="s">
        <v>5590</v>
      </c>
      <c r="BE337" s="77"/>
      <c r="BF337" s="77"/>
      <c r="BG337" s="77"/>
      <c r="BH337" s="77"/>
      <c r="BI337" s="77"/>
    </row>
    <row r="338" spans="1:61" x14ac:dyDescent="0.25">
      <c r="A338" s="62" t="s">
        <v>370</v>
      </c>
      <c r="B338" s="62" t="s">
        <v>370</v>
      </c>
      <c r="C338" s="63"/>
      <c r="D338" s="64"/>
      <c r="E338" s="65"/>
      <c r="F338" s="66"/>
      <c r="G338" s="63"/>
      <c r="H338" s="67"/>
      <c r="I338" s="68"/>
      <c r="J338" s="68"/>
      <c r="K338" s="32"/>
      <c r="L338" s="75">
        <v>338</v>
      </c>
      <c r="M338" s="75"/>
      <c r="N338" s="70"/>
      <c r="O338" s="77" t="s">
        <v>179</v>
      </c>
      <c r="P338" s="79">
        <v>45108.525821759256</v>
      </c>
      <c r="Q338" s="77" t="s">
        <v>920</v>
      </c>
      <c r="R338" s="77">
        <v>2</v>
      </c>
      <c r="S338" s="77">
        <v>3</v>
      </c>
      <c r="T338" s="77">
        <v>0</v>
      </c>
      <c r="U338" s="77">
        <v>0</v>
      </c>
      <c r="V338" s="77">
        <v>36</v>
      </c>
      <c r="W338" s="82" t="s">
        <v>1757</v>
      </c>
      <c r="X338" s="77"/>
      <c r="Y338" s="77"/>
      <c r="Z338" s="77"/>
      <c r="AA338" s="77" t="s">
        <v>2440</v>
      </c>
      <c r="AB338" s="77" t="s">
        <v>2714</v>
      </c>
      <c r="AC338" s="82" t="s">
        <v>2722</v>
      </c>
      <c r="AD338" s="77" t="s">
        <v>2753</v>
      </c>
      <c r="AE338" s="80" t="str">
        <f>HYPERLINK("https://twitter.com/puneetkohli1979/status/1675121371414925312")</f>
        <v>https://twitter.com/puneetkohli1979/status/1675121371414925312</v>
      </c>
      <c r="AF338" s="79">
        <v>45108.525821759256</v>
      </c>
      <c r="AG338" s="85">
        <v>45108</v>
      </c>
      <c r="AH338" s="82" t="s">
        <v>3094</v>
      </c>
      <c r="AI338" s="77" t="b">
        <v>0</v>
      </c>
      <c r="AJ338" s="77"/>
      <c r="AK338" s="77"/>
      <c r="AL338" s="77"/>
      <c r="AM338" s="77"/>
      <c r="AN338" s="77"/>
      <c r="AO338" s="77"/>
      <c r="AP338" s="77"/>
      <c r="AQ338" s="77" t="s">
        <v>4066</v>
      </c>
      <c r="AR338" s="77"/>
      <c r="AS338" s="77"/>
      <c r="AT338" s="77"/>
      <c r="AU338" s="77"/>
      <c r="AV338" s="80" t="str">
        <f>HYPERLINK("https://pbs.twimg.com/media/Fz85_TOaUAEwlp4.jpg")</f>
        <v>https://pbs.twimg.com/media/Fz85_TOaUAEwlp4.jpg</v>
      </c>
      <c r="AW338" s="82" t="s">
        <v>4672</v>
      </c>
      <c r="AX338" s="82" t="s">
        <v>4672</v>
      </c>
      <c r="AY338" s="77"/>
      <c r="AZ338" s="82" t="s">
        <v>5615</v>
      </c>
      <c r="BA338" s="82" t="s">
        <v>5615</v>
      </c>
      <c r="BB338" s="82" t="s">
        <v>5615</v>
      </c>
      <c r="BC338" s="82" t="s">
        <v>4672</v>
      </c>
      <c r="BD338" s="82" t="s">
        <v>5960</v>
      </c>
      <c r="BE338" s="77"/>
      <c r="BF338" s="77"/>
      <c r="BG338" s="77"/>
      <c r="BH338" s="77"/>
      <c r="BI338" s="77"/>
    </row>
    <row r="339" spans="1:61" x14ac:dyDescent="0.25">
      <c r="A339" s="62" t="s">
        <v>371</v>
      </c>
      <c r="B339" s="62" t="s">
        <v>371</v>
      </c>
      <c r="C339" s="63"/>
      <c r="D339" s="64"/>
      <c r="E339" s="65"/>
      <c r="F339" s="66"/>
      <c r="G339" s="63"/>
      <c r="H339" s="67"/>
      <c r="I339" s="68"/>
      <c r="J339" s="68"/>
      <c r="K339" s="32"/>
      <c r="L339" s="75">
        <v>339</v>
      </c>
      <c r="M339" s="75"/>
      <c r="N339" s="70"/>
      <c r="O339" s="77" t="s">
        <v>179</v>
      </c>
      <c r="P339" s="79">
        <v>45089.625023148146</v>
      </c>
      <c r="Q339" s="77" t="s">
        <v>921</v>
      </c>
      <c r="R339" s="77">
        <v>0</v>
      </c>
      <c r="S339" s="77">
        <v>0</v>
      </c>
      <c r="T339" s="77">
        <v>0</v>
      </c>
      <c r="U339" s="77">
        <v>0</v>
      </c>
      <c r="V339" s="77">
        <v>21</v>
      </c>
      <c r="W339" s="82" t="s">
        <v>1758</v>
      </c>
      <c r="X339" s="77"/>
      <c r="Y339" s="77"/>
      <c r="Z339" s="77"/>
      <c r="AA339" s="77" t="s">
        <v>2441</v>
      </c>
      <c r="AB339" s="77" t="s">
        <v>2713</v>
      </c>
      <c r="AC339" s="82" t="s">
        <v>2722</v>
      </c>
      <c r="AD339" s="77" t="s">
        <v>2752</v>
      </c>
      <c r="AE339" s="80" t="str">
        <f>HYPERLINK("https://twitter.com/se_empreendedor/status/1668271951687630853")</f>
        <v>https://twitter.com/se_empreendedor/status/1668271951687630853</v>
      </c>
      <c r="AF339" s="79">
        <v>45089.625023148146</v>
      </c>
      <c r="AG339" s="85">
        <v>45089</v>
      </c>
      <c r="AH339" s="82" t="s">
        <v>3095</v>
      </c>
      <c r="AI339" s="77" t="b">
        <v>0</v>
      </c>
      <c r="AJ339" s="77"/>
      <c r="AK339" s="77"/>
      <c r="AL339" s="77"/>
      <c r="AM339" s="77"/>
      <c r="AN339" s="77"/>
      <c r="AO339" s="77"/>
      <c r="AP339" s="77"/>
      <c r="AQ339" s="77" t="s">
        <v>4067</v>
      </c>
      <c r="AR339" s="77">
        <v>21866</v>
      </c>
      <c r="AS339" s="77"/>
      <c r="AT339" s="77"/>
      <c r="AU339" s="77"/>
      <c r="AV339" s="80" t="str">
        <f>HYPERLINK("https://pbs.twimg.com/ext_tw_video_thumb/1668257031961075712/pu/img/AFqDn6bATY0wXObT.jpg")</f>
        <v>https://pbs.twimg.com/ext_tw_video_thumb/1668257031961075712/pu/img/AFqDn6bATY0wXObT.jpg</v>
      </c>
      <c r="AW339" s="82" t="s">
        <v>4673</v>
      </c>
      <c r="AX339" s="82" t="s">
        <v>4673</v>
      </c>
      <c r="AY339" s="77"/>
      <c r="AZ339" s="82" t="s">
        <v>5615</v>
      </c>
      <c r="BA339" s="82" t="s">
        <v>5615</v>
      </c>
      <c r="BB339" s="82" t="s">
        <v>5615</v>
      </c>
      <c r="BC339" s="82" t="s">
        <v>4673</v>
      </c>
      <c r="BD339" s="82" t="s">
        <v>5961</v>
      </c>
      <c r="BE339" s="77"/>
      <c r="BF339" s="77"/>
      <c r="BG339" s="77"/>
      <c r="BH339" s="77"/>
      <c r="BI339" s="77"/>
    </row>
    <row r="340" spans="1:61" x14ac:dyDescent="0.25">
      <c r="A340" s="62" t="s">
        <v>372</v>
      </c>
      <c r="B340" s="62" t="s">
        <v>372</v>
      </c>
      <c r="C340" s="63"/>
      <c r="D340" s="64"/>
      <c r="E340" s="65"/>
      <c r="F340" s="66"/>
      <c r="G340" s="63"/>
      <c r="H340" s="67"/>
      <c r="I340" s="68"/>
      <c r="J340" s="68"/>
      <c r="K340" s="32"/>
      <c r="L340" s="75">
        <v>340</v>
      </c>
      <c r="M340" s="75"/>
      <c r="N340" s="70"/>
      <c r="O340" s="77" t="s">
        <v>179</v>
      </c>
      <c r="P340" s="79">
        <v>44979.988935185182</v>
      </c>
      <c r="Q340" s="77" t="s">
        <v>922</v>
      </c>
      <c r="R340" s="77">
        <v>0</v>
      </c>
      <c r="S340" s="77">
        <v>0</v>
      </c>
      <c r="T340" s="77">
        <v>0</v>
      </c>
      <c r="U340" s="77">
        <v>0</v>
      </c>
      <c r="V340" s="77">
        <v>25</v>
      </c>
      <c r="W340" s="82" t="s">
        <v>1759</v>
      </c>
      <c r="X340" s="80" t="str">
        <f>HYPERLINK("https://www.instagram.com/reel/Co-pxNnu9-N/?igshid=MDJmNzVkMjY=")</f>
        <v>https://www.instagram.com/reel/Co-pxNnu9-N/?igshid=MDJmNzVkMjY=</v>
      </c>
      <c r="Y340" s="77" t="s">
        <v>2130</v>
      </c>
      <c r="Z340" s="77"/>
      <c r="AA340" s="77"/>
      <c r="AB340" s="77"/>
      <c r="AC340" s="82" t="s">
        <v>2719</v>
      </c>
      <c r="AD340" s="77" t="s">
        <v>2752</v>
      </c>
      <c r="AE340" s="80" t="str">
        <f>HYPERLINK("https://twitter.com/ailtonrocha21/status/1628541160850350080")</f>
        <v>https://twitter.com/ailtonrocha21/status/1628541160850350080</v>
      </c>
      <c r="AF340" s="79">
        <v>44979.988935185182</v>
      </c>
      <c r="AG340" s="85">
        <v>44979</v>
      </c>
      <c r="AH340" s="82" t="s">
        <v>3096</v>
      </c>
      <c r="AI340" s="77" t="b">
        <v>0</v>
      </c>
      <c r="AJ340" s="77"/>
      <c r="AK340" s="77"/>
      <c r="AL340" s="77"/>
      <c r="AM340" s="77"/>
      <c r="AN340" s="77"/>
      <c r="AO340" s="77"/>
      <c r="AP340" s="77"/>
      <c r="AQ340" s="77"/>
      <c r="AR340" s="77"/>
      <c r="AS340" s="77"/>
      <c r="AT340" s="77"/>
      <c r="AU340" s="77"/>
      <c r="AV340" s="80" t="str">
        <f>HYPERLINK("https://pbs.twimg.com/profile_images/1667987816377208832/HNNO9ade_normal.jpg")</f>
        <v>https://pbs.twimg.com/profile_images/1667987816377208832/HNNO9ade_normal.jpg</v>
      </c>
      <c r="AW340" s="82" t="s">
        <v>4674</v>
      </c>
      <c r="AX340" s="82" t="s">
        <v>4674</v>
      </c>
      <c r="AY340" s="77"/>
      <c r="AZ340" s="82" t="s">
        <v>5615</v>
      </c>
      <c r="BA340" s="82" t="s">
        <v>5615</v>
      </c>
      <c r="BB340" s="82" t="s">
        <v>5615</v>
      </c>
      <c r="BC340" s="82" t="s">
        <v>4674</v>
      </c>
      <c r="BD340" s="77">
        <v>2942382911</v>
      </c>
      <c r="BE340" s="77"/>
      <c r="BF340" s="77"/>
      <c r="BG340" s="77"/>
      <c r="BH340" s="77"/>
      <c r="BI340" s="77"/>
    </row>
    <row r="341" spans="1:61" x14ac:dyDescent="0.25">
      <c r="A341" s="62" t="s">
        <v>373</v>
      </c>
      <c r="B341" s="62" t="s">
        <v>569</v>
      </c>
      <c r="C341" s="63"/>
      <c r="D341" s="64"/>
      <c r="E341" s="65"/>
      <c r="F341" s="66"/>
      <c r="G341" s="63"/>
      <c r="H341" s="67"/>
      <c r="I341" s="68"/>
      <c r="J341" s="68"/>
      <c r="K341" s="32"/>
      <c r="L341" s="75">
        <v>341</v>
      </c>
      <c r="M341" s="75"/>
      <c r="N341" s="70"/>
      <c r="O341" s="77" t="s">
        <v>586</v>
      </c>
      <c r="P341" s="79">
        <v>45071.559803240743</v>
      </c>
      <c r="Q341" s="77" t="s">
        <v>923</v>
      </c>
      <c r="R341" s="77">
        <v>0</v>
      </c>
      <c r="S341" s="77">
        <v>1</v>
      </c>
      <c r="T341" s="77">
        <v>0</v>
      </c>
      <c r="U341" s="77">
        <v>0</v>
      </c>
      <c r="V341" s="77">
        <v>34</v>
      </c>
      <c r="W341" s="82" t="s">
        <v>1760</v>
      </c>
      <c r="X341" s="77"/>
      <c r="Y341" s="77"/>
      <c r="Z341" s="77" t="s">
        <v>569</v>
      </c>
      <c r="AA341" s="77" t="s">
        <v>2442</v>
      </c>
      <c r="AB341" s="77" t="s">
        <v>2713</v>
      </c>
      <c r="AC341" s="82" t="s">
        <v>2719</v>
      </c>
      <c r="AD341" s="77" t="s">
        <v>2752</v>
      </c>
      <c r="AE341" s="80" t="str">
        <f>HYPERLINK("https://twitter.com/joanadarcdocar1/status/1661725333677023238")</f>
        <v>https://twitter.com/joanadarcdocar1/status/1661725333677023238</v>
      </c>
      <c r="AF341" s="79">
        <v>45071.559803240743</v>
      </c>
      <c r="AG341" s="85">
        <v>45071</v>
      </c>
      <c r="AH341" s="82" t="s">
        <v>3097</v>
      </c>
      <c r="AI341" s="77" t="b">
        <v>0</v>
      </c>
      <c r="AJ341" s="77"/>
      <c r="AK341" s="77"/>
      <c r="AL341" s="77"/>
      <c r="AM341" s="77"/>
      <c r="AN341" s="77"/>
      <c r="AO341" s="77"/>
      <c r="AP341" s="77"/>
      <c r="AQ341" s="77" t="s">
        <v>4068</v>
      </c>
      <c r="AR341" s="77">
        <v>89998</v>
      </c>
      <c r="AS341" s="77"/>
      <c r="AT341" s="77"/>
      <c r="AU341" s="77"/>
      <c r="AV341" s="80" t="str">
        <f>HYPERLINK("https://pbs.twimg.com/ext_tw_video_thumb/1661725228966244352/pu/img/nr3mRzvbXo0WZx8W.jpg")</f>
        <v>https://pbs.twimg.com/ext_tw_video_thumb/1661725228966244352/pu/img/nr3mRzvbXo0WZx8W.jpg</v>
      </c>
      <c r="AW341" s="82" t="s">
        <v>4675</v>
      </c>
      <c r="AX341" s="82" t="s">
        <v>4675</v>
      </c>
      <c r="AY341" s="77"/>
      <c r="AZ341" s="82" t="s">
        <v>5615</v>
      </c>
      <c r="BA341" s="82" t="s">
        <v>5615</v>
      </c>
      <c r="BB341" s="82" t="s">
        <v>5615</v>
      </c>
      <c r="BC341" s="82" t="s">
        <v>4675</v>
      </c>
      <c r="BD341" s="82" t="s">
        <v>5962</v>
      </c>
      <c r="BE341" s="77"/>
      <c r="BF341" s="77"/>
      <c r="BG341" s="77"/>
      <c r="BH341" s="77"/>
      <c r="BI341" s="77"/>
    </row>
    <row r="342" spans="1:61" x14ac:dyDescent="0.25">
      <c r="A342" s="62" t="s">
        <v>374</v>
      </c>
      <c r="B342" s="62" t="s">
        <v>374</v>
      </c>
      <c r="C342" s="63"/>
      <c r="D342" s="64"/>
      <c r="E342" s="65"/>
      <c r="F342" s="66"/>
      <c r="G342" s="63"/>
      <c r="H342" s="67"/>
      <c r="I342" s="68"/>
      <c r="J342" s="68"/>
      <c r="K342" s="32"/>
      <c r="L342" s="75">
        <v>342</v>
      </c>
      <c r="M342" s="75"/>
      <c r="N342" s="70"/>
      <c r="O342" s="77" t="s">
        <v>179</v>
      </c>
      <c r="P342" s="79">
        <v>45177.745358796295</v>
      </c>
      <c r="Q342" s="77" t="s">
        <v>924</v>
      </c>
      <c r="R342" s="77">
        <v>0</v>
      </c>
      <c r="S342" s="77">
        <v>0</v>
      </c>
      <c r="T342" s="77">
        <v>0</v>
      </c>
      <c r="U342" s="77">
        <v>0</v>
      </c>
      <c r="V342" s="77">
        <v>5</v>
      </c>
      <c r="W342" s="82" t="s">
        <v>1761</v>
      </c>
      <c r="X342" s="77"/>
      <c r="Y342" s="77"/>
      <c r="Z342" s="77"/>
      <c r="AA342" s="77" t="s">
        <v>2443</v>
      </c>
      <c r="AB342" s="77" t="s">
        <v>2713</v>
      </c>
      <c r="AC342" s="82" t="s">
        <v>2734</v>
      </c>
      <c r="AD342" s="77" t="s">
        <v>2752</v>
      </c>
      <c r="AE342" s="80" t="str">
        <f>HYPERLINK("https://twitter.com/tradedorkpt/status/1700205690105569384")</f>
        <v>https://twitter.com/tradedorkpt/status/1700205690105569384</v>
      </c>
      <c r="AF342" s="79">
        <v>45177.745358796295</v>
      </c>
      <c r="AG342" s="85">
        <v>45177</v>
      </c>
      <c r="AH342" s="82" t="s">
        <v>3098</v>
      </c>
      <c r="AI342" s="77" t="b">
        <v>0</v>
      </c>
      <c r="AJ342" s="77"/>
      <c r="AK342" s="77"/>
      <c r="AL342" s="77"/>
      <c r="AM342" s="77"/>
      <c r="AN342" s="77"/>
      <c r="AO342" s="77"/>
      <c r="AP342" s="77"/>
      <c r="AQ342" s="77" t="s">
        <v>4069</v>
      </c>
      <c r="AR342" s="77">
        <v>20317</v>
      </c>
      <c r="AS342" s="77"/>
      <c r="AT342" s="77"/>
      <c r="AU342" s="77"/>
      <c r="AV342" s="80" t="str">
        <f>HYPERLINK("https://pbs.twimg.com/ext_tw_video_thumb/1700205626838708224/pu/img/rvbrGKrAhaYDVijm.jpg")</f>
        <v>https://pbs.twimg.com/ext_tw_video_thumb/1700205626838708224/pu/img/rvbrGKrAhaYDVijm.jpg</v>
      </c>
      <c r="AW342" s="82" t="s">
        <v>4676</v>
      </c>
      <c r="AX342" s="82" t="s">
        <v>4676</v>
      </c>
      <c r="AY342" s="77"/>
      <c r="AZ342" s="82" t="s">
        <v>5615</v>
      </c>
      <c r="BA342" s="82" t="s">
        <v>5615</v>
      </c>
      <c r="BB342" s="82" t="s">
        <v>5615</v>
      </c>
      <c r="BC342" s="82" t="s">
        <v>4676</v>
      </c>
      <c r="BD342" s="82" t="s">
        <v>5963</v>
      </c>
      <c r="BE342" s="77"/>
      <c r="BF342" s="77"/>
      <c r="BG342" s="77"/>
      <c r="BH342" s="77"/>
      <c r="BI342" s="77"/>
    </row>
    <row r="343" spans="1:61" x14ac:dyDescent="0.25">
      <c r="A343" s="62" t="s">
        <v>374</v>
      </c>
      <c r="B343" s="62" t="s">
        <v>374</v>
      </c>
      <c r="C343" s="63"/>
      <c r="D343" s="64"/>
      <c r="E343" s="65"/>
      <c r="F343" s="66"/>
      <c r="G343" s="63"/>
      <c r="H343" s="67"/>
      <c r="I343" s="68"/>
      <c r="J343" s="68"/>
      <c r="K343" s="32"/>
      <c r="L343" s="75">
        <v>343</v>
      </c>
      <c r="M343" s="75"/>
      <c r="N343" s="70"/>
      <c r="O343" s="77" t="s">
        <v>179</v>
      </c>
      <c r="P343" s="79">
        <v>45177.713391203702</v>
      </c>
      <c r="Q343" s="77" t="s">
        <v>925</v>
      </c>
      <c r="R343" s="77">
        <v>0</v>
      </c>
      <c r="S343" s="77">
        <v>0</v>
      </c>
      <c r="T343" s="77">
        <v>0</v>
      </c>
      <c r="U343" s="77">
        <v>0</v>
      </c>
      <c r="V343" s="77">
        <v>16</v>
      </c>
      <c r="W343" s="82" t="s">
        <v>1762</v>
      </c>
      <c r="X343" s="77"/>
      <c r="Y343" s="77"/>
      <c r="Z343" s="77"/>
      <c r="AA343" s="77" t="s">
        <v>2444</v>
      </c>
      <c r="AB343" s="77" t="s">
        <v>2713</v>
      </c>
      <c r="AC343" s="82" t="s">
        <v>2734</v>
      </c>
      <c r="AD343" s="77" t="s">
        <v>2752</v>
      </c>
      <c r="AE343" s="80" t="str">
        <f>HYPERLINK("https://twitter.com/tradedorkpt/status/1700194103542091855")</f>
        <v>https://twitter.com/tradedorkpt/status/1700194103542091855</v>
      </c>
      <c r="AF343" s="79">
        <v>45177.713391203702</v>
      </c>
      <c r="AG343" s="85">
        <v>45177</v>
      </c>
      <c r="AH343" s="82" t="s">
        <v>3099</v>
      </c>
      <c r="AI343" s="77" t="b">
        <v>0</v>
      </c>
      <c r="AJ343" s="77"/>
      <c r="AK343" s="77"/>
      <c r="AL343" s="77"/>
      <c r="AM343" s="77"/>
      <c r="AN343" s="77"/>
      <c r="AO343" s="77"/>
      <c r="AP343" s="77"/>
      <c r="AQ343" s="77" t="s">
        <v>4070</v>
      </c>
      <c r="AR343" s="77">
        <v>22452</v>
      </c>
      <c r="AS343" s="77"/>
      <c r="AT343" s="77"/>
      <c r="AU343" s="77"/>
      <c r="AV343" s="80" t="str">
        <f>HYPERLINK("https://pbs.twimg.com/ext_tw_video_thumb/1700194040484909056/pu/img/CQ-BUec_A9pbmWhg.jpg")</f>
        <v>https://pbs.twimg.com/ext_tw_video_thumb/1700194040484909056/pu/img/CQ-BUec_A9pbmWhg.jpg</v>
      </c>
      <c r="AW343" s="82" t="s">
        <v>4677</v>
      </c>
      <c r="AX343" s="82" t="s">
        <v>4677</v>
      </c>
      <c r="AY343" s="77"/>
      <c r="AZ343" s="82" t="s">
        <v>5615</v>
      </c>
      <c r="BA343" s="82" t="s">
        <v>5615</v>
      </c>
      <c r="BB343" s="82" t="s">
        <v>5615</v>
      </c>
      <c r="BC343" s="82" t="s">
        <v>4677</v>
      </c>
      <c r="BD343" s="82" t="s">
        <v>5963</v>
      </c>
      <c r="BE343" s="77"/>
      <c r="BF343" s="77"/>
      <c r="BG343" s="77"/>
      <c r="BH343" s="77"/>
      <c r="BI343" s="77"/>
    </row>
    <row r="344" spans="1:61" x14ac:dyDescent="0.25">
      <c r="A344" s="62" t="s">
        <v>374</v>
      </c>
      <c r="B344" s="62" t="s">
        <v>374</v>
      </c>
      <c r="C344" s="63"/>
      <c r="D344" s="64"/>
      <c r="E344" s="65"/>
      <c r="F344" s="66"/>
      <c r="G344" s="63"/>
      <c r="H344" s="67"/>
      <c r="I344" s="68"/>
      <c r="J344" s="68"/>
      <c r="K344" s="32"/>
      <c r="L344" s="75">
        <v>344</v>
      </c>
      <c r="M344" s="75"/>
      <c r="N344" s="70"/>
      <c r="O344" s="77" t="s">
        <v>179</v>
      </c>
      <c r="P344" s="79">
        <v>45176.741226851853</v>
      </c>
      <c r="Q344" s="77" t="s">
        <v>926</v>
      </c>
      <c r="R344" s="77">
        <v>0</v>
      </c>
      <c r="S344" s="77">
        <v>0</v>
      </c>
      <c r="T344" s="77">
        <v>0</v>
      </c>
      <c r="U344" s="77">
        <v>0</v>
      </c>
      <c r="V344" s="77">
        <v>15</v>
      </c>
      <c r="W344" s="82" t="s">
        <v>1763</v>
      </c>
      <c r="X344" s="77"/>
      <c r="Y344" s="77"/>
      <c r="Z344" s="77"/>
      <c r="AA344" s="77" t="s">
        <v>2445</v>
      </c>
      <c r="AB344" s="77" t="s">
        <v>2713</v>
      </c>
      <c r="AC344" s="82" t="s">
        <v>2734</v>
      </c>
      <c r="AD344" s="77" t="s">
        <v>2752</v>
      </c>
      <c r="AE344" s="80" t="str">
        <f>HYPERLINK("https://twitter.com/tradedorkpt/status/1699841805691314671")</f>
        <v>https://twitter.com/tradedorkpt/status/1699841805691314671</v>
      </c>
      <c r="AF344" s="79">
        <v>45176.741226851853</v>
      </c>
      <c r="AG344" s="85">
        <v>45176</v>
      </c>
      <c r="AH344" s="82" t="s">
        <v>3100</v>
      </c>
      <c r="AI344" s="77" t="b">
        <v>0</v>
      </c>
      <c r="AJ344" s="77"/>
      <c r="AK344" s="77"/>
      <c r="AL344" s="77"/>
      <c r="AM344" s="77"/>
      <c r="AN344" s="77"/>
      <c r="AO344" s="77"/>
      <c r="AP344" s="77"/>
      <c r="AQ344" s="77" t="s">
        <v>4071</v>
      </c>
      <c r="AR344" s="77">
        <v>27050</v>
      </c>
      <c r="AS344" s="77"/>
      <c r="AT344" s="77"/>
      <c r="AU344" s="77"/>
      <c r="AV344" s="80" t="str">
        <f>HYPERLINK("https://pbs.twimg.com/ext_tw_video_thumb/1699841721398358016/pu/img/79QXM7JqHpWogI5O.jpg")</f>
        <v>https://pbs.twimg.com/ext_tw_video_thumb/1699841721398358016/pu/img/79QXM7JqHpWogI5O.jpg</v>
      </c>
      <c r="AW344" s="82" t="s">
        <v>4678</v>
      </c>
      <c r="AX344" s="82" t="s">
        <v>4678</v>
      </c>
      <c r="AY344" s="77"/>
      <c r="AZ344" s="82" t="s">
        <v>5615</v>
      </c>
      <c r="BA344" s="82" t="s">
        <v>5615</v>
      </c>
      <c r="BB344" s="82" t="s">
        <v>5615</v>
      </c>
      <c r="BC344" s="82" t="s">
        <v>4678</v>
      </c>
      <c r="BD344" s="82" t="s">
        <v>5963</v>
      </c>
      <c r="BE344" s="77"/>
      <c r="BF344" s="77"/>
      <c r="BG344" s="77"/>
      <c r="BH344" s="77"/>
      <c r="BI344" s="77"/>
    </row>
    <row r="345" spans="1:61" x14ac:dyDescent="0.25">
      <c r="A345" s="62" t="s">
        <v>374</v>
      </c>
      <c r="B345" s="62" t="s">
        <v>374</v>
      </c>
      <c r="C345" s="63"/>
      <c r="D345" s="64"/>
      <c r="E345" s="65"/>
      <c r="F345" s="66"/>
      <c r="G345" s="63"/>
      <c r="H345" s="67"/>
      <c r="I345" s="68"/>
      <c r="J345" s="68"/>
      <c r="K345" s="32"/>
      <c r="L345" s="75">
        <v>345</v>
      </c>
      <c r="M345" s="75"/>
      <c r="N345" s="70"/>
      <c r="O345" s="77" t="s">
        <v>179</v>
      </c>
      <c r="P345" s="79">
        <v>45176.672418981485</v>
      </c>
      <c r="Q345" s="77" t="s">
        <v>927</v>
      </c>
      <c r="R345" s="77">
        <v>0</v>
      </c>
      <c r="S345" s="77">
        <v>0</v>
      </c>
      <c r="T345" s="77">
        <v>0</v>
      </c>
      <c r="U345" s="77">
        <v>0</v>
      </c>
      <c r="V345" s="77">
        <v>23</v>
      </c>
      <c r="W345" s="82" t="s">
        <v>1764</v>
      </c>
      <c r="X345" s="77"/>
      <c r="Y345" s="77"/>
      <c r="Z345" s="77"/>
      <c r="AA345" s="77" t="s">
        <v>2446</v>
      </c>
      <c r="AB345" s="77" t="s">
        <v>2713</v>
      </c>
      <c r="AC345" s="82" t="s">
        <v>2734</v>
      </c>
      <c r="AD345" s="77" t="s">
        <v>2752</v>
      </c>
      <c r="AE345" s="80" t="str">
        <f>HYPERLINK("https://twitter.com/tradedorkpt/status/1699816869350256913")</f>
        <v>https://twitter.com/tradedorkpt/status/1699816869350256913</v>
      </c>
      <c r="AF345" s="79">
        <v>45176.672418981485</v>
      </c>
      <c r="AG345" s="85">
        <v>45176</v>
      </c>
      <c r="AH345" s="82" t="s">
        <v>3101</v>
      </c>
      <c r="AI345" s="77" t="b">
        <v>0</v>
      </c>
      <c r="AJ345" s="77"/>
      <c r="AK345" s="77"/>
      <c r="AL345" s="77"/>
      <c r="AM345" s="77"/>
      <c r="AN345" s="77"/>
      <c r="AO345" s="77"/>
      <c r="AP345" s="77"/>
      <c r="AQ345" s="77" t="s">
        <v>4072</v>
      </c>
      <c r="AR345" s="77">
        <v>25588</v>
      </c>
      <c r="AS345" s="77"/>
      <c r="AT345" s="77"/>
      <c r="AU345" s="77"/>
      <c r="AV345" s="80" t="str">
        <f>HYPERLINK("https://pbs.twimg.com/ext_tw_video_thumb/1699816785191534592/pu/img/lQO0IRVuojcYE-OF.jpg")</f>
        <v>https://pbs.twimg.com/ext_tw_video_thumb/1699816785191534592/pu/img/lQO0IRVuojcYE-OF.jpg</v>
      </c>
      <c r="AW345" s="82" t="s">
        <v>4679</v>
      </c>
      <c r="AX345" s="82" t="s">
        <v>4679</v>
      </c>
      <c r="AY345" s="77"/>
      <c r="AZ345" s="82" t="s">
        <v>5615</v>
      </c>
      <c r="BA345" s="82" t="s">
        <v>5615</v>
      </c>
      <c r="BB345" s="82" t="s">
        <v>5615</v>
      </c>
      <c r="BC345" s="82" t="s">
        <v>4679</v>
      </c>
      <c r="BD345" s="82" t="s">
        <v>5963</v>
      </c>
      <c r="BE345" s="77"/>
      <c r="BF345" s="77"/>
      <c r="BG345" s="77"/>
      <c r="BH345" s="77"/>
      <c r="BI345" s="77"/>
    </row>
    <row r="346" spans="1:61" x14ac:dyDescent="0.25">
      <c r="A346" s="62" t="s">
        <v>374</v>
      </c>
      <c r="B346" s="62" t="s">
        <v>374</v>
      </c>
      <c r="C346" s="63"/>
      <c r="D346" s="64"/>
      <c r="E346" s="65"/>
      <c r="F346" s="66"/>
      <c r="G346" s="63"/>
      <c r="H346" s="67"/>
      <c r="I346" s="68"/>
      <c r="J346" s="68"/>
      <c r="K346" s="32"/>
      <c r="L346" s="75">
        <v>346</v>
      </c>
      <c r="M346" s="75"/>
      <c r="N346" s="70"/>
      <c r="O346" s="77" t="s">
        <v>179</v>
      </c>
      <c r="P346" s="79">
        <v>45175.698877314811</v>
      </c>
      <c r="Q346" s="77" t="s">
        <v>928</v>
      </c>
      <c r="R346" s="77">
        <v>0</v>
      </c>
      <c r="S346" s="77">
        <v>0</v>
      </c>
      <c r="T346" s="77">
        <v>1</v>
      </c>
      <c r="U346" s="77">
        <v>0</v>
      </c>
      <c r="V346" s="77">
        <v>15</v>
      </c>
      <c r="W346" s="82" t="s">
        <v>1765</v>
      </c>
      <c r="X346" s="77"/>
      <c r="Y346" s="77"/>
      <c r="Z346" s="77"/>
      <c r="AA346" s="77" t="s">
        <v>2447</v>
      </c>
      <c r="AB346" s="77" t="s">
        <v>2713</v>
      </c>
      <c r="AC346" s="82" t="s">
        <v>2734</v>
      </c>
      <c r="AD346" s="77" t="s">
        <v>2752</v>
      </c>
      <c r="AE346" s="80" t="str">
        <f>HYPERLINK("https://twitter.com/tradedorkpt/status/1699464069047046438")</f>
        <v>https://twitter.com/tradedorkpt/status/1699464069047046438</v>
      </c>
      <c r="AF346" s="79">
        <v>45175.698877314811</v>
      </c>
      <c r="AG346" s="85">
        <v>45175</v>
      </c>
      <c r="AH346" s="82" t="s">
        <v>3102</v>
      </c>
      <c r="AI346" s="77" t="b">
        <v>0</v>
      </c>
      <c r="AJ346" s="77"/>
      <c r="AK346" s="77"/>
      <c r="AL346" s="77"/>
      <c r="AM346" s="77"/>
      <c r="AN346" s="77"/>
      <c r="AO346" s="77"/>
      <c r="AP346" s="77"/>
      <c r="AQ346" s="77" t="s">
        <v>4073</v>
      </c>
      <c r="AR346" s="77">
        <v>23475</v>
      </c>
      <c r="AS346" s="77"/>
      <c r="AT346" s="77"/>
      <c r="AU346" s="77"/>
      <c r="AV346" s="80" t="str">
        <f>HYPERLINK("https://pbs.twimg.com/ext_tw_video_thumb/1699463984988987392/pu/img/G4RDAN97UFRkVy7i.jpg")</f>
        <v>https://pbs.twimg.com/ext_tw_video_thumb/1699463984988987392/pu/img/G4RDAN97UFRkVy7i.jpg</v>
      </c>
      <c r="AW346" s="82" t="s">
        <v>4680</v>
      </c>
      <c r="AX346" s="82" t="s">
        <v>4680</v>
      </c>
      <c r="AY346" s="77"/>
      <c r="AZ346" s="82" t="s">
        <v>5615</v>
      </c>
      <c r="BA346" s="82" t="s">
        <v>5615</v>
      </c>
      <c r="BB346" s="82" t="s">
        <v>5615</v>
      </c>
      <c r="BC346" s="82" t="s">
        <v>4680</v>
      </c>
      <c r="BD346" s="82" t="s">
        <v>5963</v>
      </c>
      <c r="BE346" s="77"/>
      <c r="BF346" s="77"/>
      <c r="BG346" s="77"/>
      <c r="BH346" s="77"/>
      <c r="BI346" s="77"/>
    </row>
    <row r="347" spans="1:61" x14ac:dyDescent="0.25">
      <c r="A347" s="62" t="s">
        <v>374</v>
      </c>
      <c r="B347" s="62" t="s">
        <v>374</v>
      </c>
      <c r="C347" s="63"/>
      <c r="D347" s="64"/>
      <c r="E347" s="65"/>
      <c r="F347" s="66"/>
      <c r="G347" s="63"/>
      <c r="H347" s="67"/>
      <c r="I347" s="68"/>
      <c r="J347" s="68"/>
      <c r="K347" s="32"/>
      <c r="L347" s="75">
        <v>347</v>
      </c>
      <c r="M347" s="75"/>
      <c r="N347" s="70"/>
      <c r="O347" s="77" t="s">
        <v>179</v>
      </c>
      <c r="P347" s="79">
        <v>45190.702488425923</v>
      </c>
      <c r="Q347" s="77" t="s">
        <v>929</v>
      </c>
      <c r="R347" s="77">
        <v>0</v>
      </c>
      <c r="S347" s="77">
        <v>0</v>
      </c>
      <c r="T347" s="77">
        <v>0</v>
      </c>
      <c r="U347" s="77">
        <v>0</v>
      </c>
      <c r="V347" s="77">
        <v>4</v>
      </c>
      <c r="W347" s="82" t="s">
        <v>1764</v>
      </c>
      <c r="X347" s="77"/>
      <c r="Y347" s="77"/>
      <c r="Z347" s="77"/>
      <c r="AA347" s="77" t="s">
        <v>2448</v>
      </c>
      <c r="AB347" s="77" t="s">
        <v>2713</v>
      </c>
      <c r="AC347" s="82" t="s">
        <v>2734</v>
      </c>
      <c r="AD347" s="77" t="s">
        <v>2752</v>
      </c>
      <c r="AE347" s="80" t="str">
        <f>HYPERLINK("https://twitter.com/tradedorkpt/status/1704901197419700289")</f>
        <v>https://twitter.com/tradedorkpt/status/1704901197419700289</v>
      </c>
      <c r="AF347" s="79">
        <v>45190.702488425923</v>
      </c>
      <c r="AG347" s="85">
        <v>45190</v>
      </c>
      <c r="AH347" s="82" t="s">
        <v>3103</v>
      </c>
      <c r="AI347" s="77" t="b">
        <v>0</v>
      </c>
      <c r="AJ347" s="77"/>
      <c r="AK347" s="77"/>
      <c r="AL347" s="77"/>
      <c r="AM347" s="77"/>
      <c r="AN347" s="77"/>
      <c r="AO347" s="77"/>
      <c r="AP347" s="77"/>
      <c r="AQ347" s="77" t="s">
        <v>4074</v>
      </c>
      <c r="AR347" s="77">
        <v>29233</v>
      </c>
      <c r="AS347" s="77"/>
      <c r="AT347" s="77"/>
      <c r="AU347" s="77"/>
      <c r="AV347" s="80" t="str">
        <f>HYPERLINK("https://pbs.twimg.com/ext_tw_video_thumb/1704901113915297792/pu/img/4FQ7LqUV2W9jgimO.jpg")</f>
        <v>https://pbs.twimg.com/ext_tw_video_thumb/1704901113915297792/pu/img/4FQ7LqUV2W9jgimO.jpg</v>
      </c>
      <c r="AW347" s="82" t="s">
        <v>4681</v>
      </c>
      <c r="AX347" s="82" t="s">
        <v>4681</v>
      </c>
      <c r="AY347" s="77"/>
      <c r="AZ347" s="82" t="s">
        <v>5615</v>
      </c>
      <c r="BA347" s="82" t="s">
        <v>5615</v>
      </c>
      <c r="BB347" s="82" t="s">
        <v>5615</v>
      </c>
      <c r="BC347" s="82" t="s">
        <v>4681</v>
      </c>
      <c r="BD347" s="82" t="s">
        <v>5963</v>
      </c>
      <c r="BE347" s="77"/>
      <c r="BF347" s="77"/>
      <c r="BG347" s="77"/>
      <c r="BH347" s="77"/>
      <c r="BI347" s="77"/>
    </row>
    <row r="348" spans="1:61" x14ac:dyDescent="0.25">
      <c r="A348" s="62" t="s">
        <v>374</v>
      </c>
      <c r="B348" s="62" t="s">
        <v>374</v>
      </c>
      <c r="C348" s="63"/>
      <c r="D348" s="64"/>
      <c r="E348" s="65"/>
      <c r="F348" s="66"/>
      <c r="G348" s="63"/>
      <c r="H348" s="67"/>
      <c r="I348" s="68"/>
      <c r="J348" s="68"/>
      <c r="K348" s="32"/>
      <c r="L348" s="75">
        <v>348</v>
      </c>
      <c r="M348" s="75"/>
      <c r="N348" s="70"/>
      <c r="O348" s="77" t="s">
        <v>179</v>
      </c>
      <c r="P348" s="79">
        <v>45187.760752314818</v>
      </c>
      <c r="Q348" s="77" t="s">
        <v>930</v>
      </c>
      <c r="R348" s="77">
        <v>0</v>
      </c>
      <c r="S348" s="77">
        <v>0</v>
      </c>
      <c r="T348" s="77">
        <v>0</v>
      </c>
      <c r="U348" s="77">
        <v>0</v>
      </c>
      <c r="V348" s="77">
        <v>6</v>
      </c>
      <c r="W348" s="82" t="s">
        <v>1766</v>
      </c>
      <c r="X348" s="77"/>
      <c r="Y348" s="77"/>
      <c r="Z348" s="77"/>
      <c r="AA348" s="77" t="s">
        <v>2449</v>
      </c>
      <c r="AB348" s="77" t="s">
        <v>2713</v>
      </c>
      <c r="AC348" s="82" t="s">
        <v>2734</v>
      </c>
      <c r="AD348" s="77" t="s">
        <v>2752</v>
      </c>
      <c r="AE348" s="80" t="str">
        <f>HYPERLINK("https://twitter.com/tradedorkpt/status/1703835147085193336")</f>
        <v>https://twitter.com/tradedorkpt/status/1703835147085193336</v>
      </c>
      <c r="AF348" s="79">
        <v>45187.760752314818</v>
      </c>
      <c r="AG348" s="85">
        <v>45187</v>
      </c>
      <c r="AH348" s="82" t="s">
        <v>3104</v>
      </c>
      <c r="AI348" s="77" t="b">
        <v>0</v>
      </c>
      <c r="AJ348" s="77"/>
      <c r="AK348" s="77"/>
      <c r="AL348" s="77"/>
      <c r="AM348" s="77"/>
      <c r="AN348" s="77"/>
      <c r="AO348" s="77"/>
      <c r="AP348" s="77"/>
      <c r="AQ348" s="77" t="s">
        <v>4075</v>
      </c>
      <c r="AR348" s="77">
        <v>29302</v>
      </c>
      <c r="AS348" s="77"/>
      <c r="AT348" s="77"/>
      <c r="AU348" s="77"/>
      <c r="AV348" s="80" t="str">
        <f>HYPERLINK("https://pbs.twimg.com/ext_tw_video_thumb/1703835041770491904/pu/img/q0-ZN1Zvt4gnmfSy.jpg")</f>
        <v>https://pbs.twimg.com/ext_tw_video_thumb/1703835041770491904/pu/img/q0-ZN1Zvt4gnmfSy.jpg</v>
      </c>
      <c r="AW348" s="82" t="s">
        <v>4682</v>
      </c>
      <c r="AX348" s="82" t="s">
        <v>4682</v>
      </c>
      <c r="AY348" s="77"/>
      <c r="AZ348" s="82" t="s">
        <v>5615</v>
      </c>
      <c r="BA348" s="82" t="s">
        <v>5615</v>
      </c>
      <c r="BB348" s="82" t="s">
        <v>5615</v>
      </c>
      <c r="BC348" s="82" t="s">
        <v>4682</v>
      </c>
      <c r="BD348" s="82" t="s">
        <v>5963</v>
      </c>
      <c r="BE348" s="77"/>
      <c r="BF348" s="77"/>
      <c r="BG348" s="77"/>
      <c r="BH348" s="77"/>
      <c r="BI348" s="77"/>
    </row>
    <row r="349" spans="1:61" x14ac:dyDescent="0.25">
      <c r="A349" s="62" t="s">
        <v>374</v>
      </c>
      <c r="B349" s="62" t="s">
        <v>374</v>
      </c>
      <c r="C349" s="63"/>
      <c r="D349" s="64"/>
      <c r="E349" s="65"/>
      <c r="F349" s="66"/>
      <c r="G349" s="63"/>
      <c r="H349" s="67"/>
      <c r="I349" s="68"/>
      <c r="J349" s="68"/>
      <c r="K349" s="32"/>
      <c r="L349" s="75">
        <v>349</v>
      </c>
      <c r="M349" s="75"/>
      <c r="N349" s="70"/>
      <c r="O349" s="77" t="s">
        <v>179</v>
      </c>
      <c r="P349" s="79">
        <v>45190.759942129633</v>
      </c>
      <c r="Q349" s="77" t="s">
        <v>931</v>
      </c>
      <c r="R349" s="77">
        <v>0</v>
      </c>
      <c r="S349" s="77">
        <v>0</v>
      </c>
      <c r="T349" s="77">
        <v>0</v>
      </c>
      <c r="U349" s="77">
        <v>0</v>
      </c>
      <c r="V349" s="77">
        <v>3</v>
      </c>
      <c r="W349" s="82" t="s">
        <v>1762</v>
      </c>
      <c r="X349" s="77"/>
      <c r="Y349" s="77"/>
      <c r="Z349" s="77"/>
      <c r="AA349" s="77" t="s">
        <v>2450</v>
      </c>
      <c r="AB349" s="77" t="s">
        <v>2713</v>
      </c>
      <c r="AC349" s="82" t="s">
        <v>2734</v>
      </c>
      <c r="AD349" s="77" t="s">
        <v>2752</v>
      </c>
      <c r="AE349" s="80" t="str">
        <f>HYPERLINK("https://twitter.com/tradedorkpt/status/1704922015763714149")</f>
        <v>https://twitter.com/tradedorkpt/status/1704922015763714149</v>
      </c>
      <c r="AF349" s="79">
        <v>45190.759942129633</v>
      </c>
      <c r="AG349" s="85">
        <v>45190</v>
      </c>
      <c r="AH349" s="82" t="s">
        <v>3105</v>
      </c>
      <c r="AI349" s="77" t="b">
        <v>0</v>
      </c>
      <c r="AJ349" s="77"/>
      <c r="AK349" s="77"/>
      <c r="AL349" s="77"/>
      <c r="AM349" s="77"/>
      <c r="AN349" s="77"/>
      <c r="AO349" s="77"/>
      <c r="AP349" s="77"/>
      <c r="AQ349" s="77" t="s">
        <v>4076</v>
      </c>
      <c r="AR349" s="77">
        <v>25982</v>
      </c>
      <c r="AS349" s="77"/>
      <c r="AT349" s="77"/>
      <c r="AU349" s="77"/>
      <c r="AV349" s="80" t="str">
        <f>HYPERLINK("https://pbs.twimg.com/ext_tw_video_thumb/1704921952408715264/pu/img/AymQ4hH_oreHhECz.jpg")</f>
        <v>https://pbs.twimg.com/ext_tw_video_thumb/1704921952408715264/pu/img/AymQ4hH_oreHhECz.jpg</v>
      </c>
      <c r="AW349" s="82" t="s">
        <v>4683</v>
      </c>
      <c r="AX349" s="82" t="s">
        <v>4683</v>
      </c>
      <c r="AY349" s="77"/>
      <c r="AZ349" s="82" t="s">
        <v>5615</v>
      </c>
      <c r="BA349" s="82" t="s">
        <v>5615</v>
      </c>
      <c r="BB349" s="82" t="s">
        <v>5615</v>
      </c>
      <c r="BC349" s="82" t="s">
        <v>4683</v>
      </c>
      <c r="BD349" s="82" t="s">
        <v>5963</v>
      </c>
      <c r="BE349" s="77"/>
      <c r="BF349" s="77"/>
      <c r="BG349" s="77"/>
      <c r="BH349" s="77"/>
      <c r="BI349" s="77"/>
    </row>
    <row r="350" spans="1:61" x14ac:dyDescent="0.25">
      <c r="A350" s="62" t="s">
        <v>374</v>
      </c>
      <c r="B350" s="62" t="s">
        <v>374</v>
      </c>
      <c r="C350" s="63"/>
      <c r="D350" s="64"/>
      <c r="E350" s="65"/>
      <c r="F350" s="66"/>
      <c r="G350" s="63"/>
      <c r="H350" s="67"/>
      <c r="I350" s="68"/>
      <c r="J350" s="68"/>
      <c r="K350" s="32"/>
      <c r="L350" s="75">
        <v>350</v>
      </c>
      <c r="M350" s="75"/>
      <c r="N350" s="70"/>
      <c r="O350" s="77" t="s">
        <v>179</v>
      </c>
      <c r="P350" s="79">
        <v>45187.716180555559</v>
      </c>
      <c r="Q350" s="77" t="s">
        <v>932</v>
      </c>
      <c r="R350" s="77">
        <v>0</v>
      </c>
      <c r="S350" s="77">
        <v>0</v>
      </c>
      <c r="T350" s="77">
        <v>0</v>
      </c>
      <c r="U350" s="77">
        <v>0</v>
      </c>
      <c r="V350" s="77">
        <v>3</v>
      </c>
      <c r="W350" s="82" t="s">
        <v>1767</v>
      </c>
      <c r="X350" s="77"/>
      <c r="Y350" s="77"/>
      <c r="Z350" s="77"/>
      <c r="AA350" s="77" t="s">
        <v>2451</v>
      </c>
      <c r="AB350" s="77" t="s">
        <v>2713</v>
      </c>
      <c r="AC350" s="82" t="s">
        <v>2734</v>
      </c>
      <c r="AD350" s="77" t="s">
        <v>2752</v>
      </c>
      <c r="AE350" s="80" t="str">
        <f>HYPERLINK("https://twitter.com/tradedorkpt/status/1703818995487388149")</f>
        <v>https://twitter.com/tradedorkpt/status/1703818995487388149</v>
      </c>
      <c r="AF350" s="79">
        <v>45187.716180555559</v>
      </c>
      <c r="AG350" s="85">
        <v>45187</v>
      </c>
      <c r="AH350" s="82" t="s">
        <v>3106</v>
      </c>
      <c r="AI350" s="77" t="b">
        <v>0</v>
      </c>
      <c r="AJ350" s="77"/>
      <c r="AK350" s="77"/>
      <c r="AL350" s="77"/>
      <c r="AM350" s="77"/>
      <c r="AN350" s="77"/>
      <c r="AO350" s="77"/>
      <c r="AP350" s="77"/>
      <c r="AQ350" s="77" t="s">
        <v>4077</v>
      </c>
      <c r="AR350" s="77">
        <v>23545</v>
      </c>
      <c r="AS350" s="77"/>
      <c r="AT350" s="77"/>
      <c r="AU350" s="77"/>
      <c r="AV350" s="80" t="str">
        <f>HYPERLINK("https://pbs.twimg.com/ext_tw_video_thumb/1703818932266643456/pu/img/bIBh63Ev5pKlHCpX.jpg")</f>
        <v>https://pbs.twimg.com/ext_tw_video_thumb/1703818932266643456/pu/img/bIBh63Ev5pKlHCpX.jpg</v>
      </c>
      <c r="AW350" s="82" t="s">
        <v>4684</v>
      </c>
      <c r="AX350" s="82" t="s">
        <v>4684</v>
      </c>
      <c r="AY350" s="77"/>
      <c r="AZ350" s="82" t="s">
        <v>5615</v>
      </c>
      <c r="BA350" s="82" t="s">
        <v>5615</v>
      </c>
      <c r="BB350" s="82" t="s">
        <v>5615</v>
      </c>
      <c r="BC350" s="82" t="s">
        <v>4684</v>
      </c>
      <c r="BD350" s="82" t="s">
        <v>5963</v>
      </c>
      <c r="BE350" s="77"/>
      <c r="BF350" s="77"/>
      <c r="BG350" s="77"/>
      <c r="BH350" s="77"/>
      <c r="BI350" s="77"/>
    </row>
    <row r="351" spans="1:61" x14ac:dyDescent="0.25">
      <c r="A351" s="62" t="s">
        <v>374</v>
      </c>
      <c r="B351" s="62" t="s">
        <v>374</v>
      </c>
      <c r="C351" s="63"/>
      <c r="D351" s="64"/>
      <c r="E351" s="65"/>
      <c r="F351" s="66"/>
      <c r="G351" s="63"/>
      <c r="H351" s="67"/>
      <c r="I351" s="68"/>
      <c r="J351" s="68"/>
      <c r="K351" s="32"/>
      <c r="L351" s="75">
        <v>351</v>
      </c>
      <c r="M351" s="75"/>
      <c r="N351" s="70"/>
      <c r="O351" s="77" t="s">
        <v>179</v>
      </c>
      <c r="P351" s="79">
        <v>45175.670393518521</v>
      </c>
      <c r="Q351" s="77" t="s">
        <v>933</v>
      </c>
      <c r="R351" s="77">
        <v>0</v>
      </c>
      <c r="S351" s="77">
        <v>0</v>
      </c>
      <c r="T351" s="77">
        <v>0</v>
      </c>
      <c r="U351" s="77">
        <v>0</v>
      </c>
      <c r="V351" s="77">
        <v>7</v>
      </c>
      <c r="W351" s="82" t="s">
        <v>1767</v>
      </c>
      <c r="X351" s="77"/>
      <c r="Y351" s="77"/>
      <c r="Z351" s="77"/>
      <c r="AA351" s="77" t="s">
        <v>2452</v>
      </c>
      <c r="AB351" s="77" t="s">
        <v>2713</v>
      </c>
      <c r="AC351" s="82" t="s">
        <v>2734</v>
      </c>
      <c r="AD351" s="77" t="s">
        <v>2752</v>
      </c>
      <c r="AE351" s="80" t="str">
        <f>HYPERLINK("https://twitter.com/tradedorkpt/status/1699453748832026918")</f>
        <v>https://twitter.com/tradedorkpt/status/1699453748832026918</v>
      </c>
      <c r="AF351" s="79">
        <v>45175.670393518521</v>
      </c>
      <c r="AG351" s="85">
        <v>45175</v>
      </c>
      <c r="AH351" s="82" t="s">
        <v>3107</v>
      </c>
      <c r="AI351" s="77" t="b">
        <v>0</v>
      </c>
      <c r="AJ351" s="77"/>
      <c r="AK351" s="77"/>
      <c r="AL351" s="77"/>
      <c r="AM351" s="77"/>
      <c r="AN351" s="77"/>
      <c r="AO351" s="77"/>
      <c r="AP351" s="77"/>
      <c r="AQ351" s="77" t="s">
        <v>4078</v>
      </c>
      <c r="AR351" s="77">
        <v>20641</v>
      </c>
      <c r="AS351" s="77"/>
      <c r="AT351" s="77"/>
      <c r="AU351" s="77"/>
      <c r="AV351" s="80" t="str">
        <f>HYPERLINK("https://pbs.twimg.com/ext_tw_video_thumb/1699453685636415488/pu/img/zBjxo_oR39zV88ML.jpg")</f>
        <v>https://pbs.twimg.com/ext_tw_video_thumb/1699453685636415488/pu/img/zBjxo_oR39zV88ML.jpg</v>
      </c>
      <c r="AW351" s="82" t="s">
        <v>4685</v>
      </c>
      <c r="AX351" s="82" t="s">
        <v>4685</v>
      </c>
      <c r="AY351" s="77"/>
      <c r="AZ351" s="82" t="s">
        <v>5615</v>
      </c>
      <c r="BA351" s="82" t="s">
        <v>5615</v>
      </c>
      <c r="BB351" s="82" t="s">
        <v>5615</v>
      </c>
      <c r="BC351" s="82" t="s">
        <v>4685</v>
      </c>
      <c r="BD351" s="82" t="s">
        <v>5963</v>
      </c>
      <c r="BE351" s="77"/>
      <c r="BF351" s="77"/>
      <c r="BG351" s="77"/>
      <c r="BH351" s="77"/>
      <c r="BI351" s="77"/>
    </row>
    <row r="352" spans="1:61" x14ac:dyDescent="0.25">
      <c r="A352" s="62" t="s">
        <v>374</v>
      </c>
      <c r="B352" s="62" t="s">
        <v>374</v>
      </c>
      <c r="C352" s="63"/>
      <c r="D352" s="64"/>
      <c r="E352" s="65"/>
      <c r="F352" s="66"/>
      <c r="G352" s="63"/>
      <c r="H352" s="67"/>
      <c r="I352" s="68"/>
      <c r="J352" s="68"/>
      <c r="K352" s="32"/>
      <c r="L352" s="75">
        <v>352</v>
      </c>
      <c r="M352" s="75"/>
      <c r="N352" s="70"/>
      <c r="O352" s="77" t="s">
        <v>179</v>
      </c>
      <c r="P352" s="79">
        <v>45174.756504629629</v>
      </c>
      <c r="Q352" s="77" t="s">
        <v>934</v>
      </c>
      <c r="R352" s="77">
        <v>0</v>
      </c>
      <c r="S352" s="77">
        <v>0</v>
      </c>
      <c r="T352" s="77">
        <v>0</v>
      </c>
      <c r="U352" s="77">
        <v>0</v>
      </c>
      <c r="V352" s="77">
        <v>11</v>
      </c>
      <c r="W352" s="82" t="s">
        <v>1766</v>
      </c>
      <c r="X352" s="77"/>
      <c r="Y352" s="77"/>
      <c r="Z352" s="77"/>
      <c r="AA352" s="77" t="s">
        <v>2453</v>
      </c>
      <c r="AB352" s="77" t="s">
        <v>2713</v>
      </c>
      <c r="AC352" s="82" t="s">
        <v>2734</v>
      </c>
      <c r="AD352" s="77" t="s">
        <v>2752</v>
      </c>
      <c r="AE352" s="80" t="str">
        <f>HYPERLINK("https://twitter.com/tradedorkpt/status/1699122565212516607")</f>
        <v>https://twitter.com/tradedorkpt/status/1699122565212516607</v>
      </c>
      <c r="AF352" s="79">
        <v>45174.756504629629</v>
      </c>
      <c r="AG352" s="85">
        <v>45174</v>
      </c>
      <c r="AH352" s="82" t="s">
        <v>3108</v>
      </c>
      <c r="AI352" s="77" t="b">
        <v>0</v>
      </c>
      <c r="AJ352" s="77"/>
      <c r="AK352" s="77"/>
      <c r="AL352" s="77"/>
      <c r="AM352" s="77"/>
      <c r="AN352" s="77"/>
      <c r="AO352" s="77"/>
      <c r="AP352" s="77"/>
      <c r="AQ352" s="77" t="s">
        <v>4079</v>
      </c>
      <c r="AR352" s="77">
        <v>33947</v>
      </c>
      <c r="AS352" s="77"/>
      <c r="AT352" s="77"/>
      <c r="AU352" s="77"/>
      <c r="AV352" s="80" t="str">
        <f>HYPERLINK("https://pbs.twimg.com/ext_tw_video_thumb/1699122480923709440/pu/img/Jiia-2fFwX6DpltE.jpg")</f>
        <v>https://pbs.twimg.com/ext_tw_video_thumb/1699122480923709440/pu/img/Jiia-2fFwX6DpltE.jpg</v>
      </c>
      <c r="AW352" s="82" t="s">
        <v>4686</v>
      </c>
      <c r="AX352" s="82" t="s">
        <v>4686</v>
      </c>
      <c r="AY352" s="77"/>
      <c r="AZ352" s="82" t="s">
        <v>5615</v>
      </c>
      <c r="BA352" s="82" t="s">
        <v>5615</v>
      </c>
      <c r="BB352" s="82" t="s">
        <v>5615</v>
      </c>
      <c r="BC352" s="82" t="s">
        <v>4686</v>
      </c>
      <c r="BD352" s="82" t="s">
        <v>5963</v>
      </c>
      <c r="BE352" s="77"/>
      <c r="BF352" s="77"/>
      <c r="BG352" s="77"/>
      <c r="BH352" s="77"/>
      <c r="BI352" s="77"/>
    </row>
    <row r="353" spans="1:61" x14ac:dyDescent="0.25">
      <c r="A353" s="62" t="s">
        <v>375</v>
      </c>
      <c r="B353" s="62" t="s">
        <v>375</v>
      </c>
      <c r="C353" s="63"/>
      <c r="D353" s="64"/>
      <c r="E353" s="65"/>
      <c r="F353" s="66"/>
      <c r="G353" s="63"/>
      <c r="H353" s="67"/>
      <c r="I353" s="68"/>
      <c r="J353" s="68"/>
      <c r="K353" s="32"/>
      <c r="L353" s="75">
        <v>353</v>
      </c>
      <c r="M353" s="75"/>
      <c r="N353" s="70"/>
      <c r="O353" s="77" t="s">
        <v>179</v>
      </c>
      <c r="P353" s="79">
        <v>44937.258634259262</v>
      </c>
      <c r="Q353" s="77" t="s">
        <v>935</v>
      </c>
      <c r="R353" s="77">
        <v>0</v>
      </c>
      <c r="S353" s="77">
        <v>0</v>
      </c>
      <c r="T353" s="77">
        <v>0</v>
      </c>
      <c r="U353" s="77">
        <v>0</v>
      </c>
      <c r="V353" s="77">
        <v>72</v>
      </c>
      <c r="W353" s="82" t="s">
        <v>1768</v>
      </c>
      <c r="X353" s="77"/>
      <c r="Y353" s="77"/>
      <c r="Z353" s="77"/>
      <c r="AA353" s="77" t="s">
        <v>2454</v>
      </c>
      <c r="AB353" s="77" t="s">
        <v>2713</v>
      </c>
      <c r="AC353" s="82" t="s">
        <v>2719</v>
      </c>
      <c r="AD353" s="77" t="s">
        <v>2752</v>
      </c>
      <c r="AE353" s="80" t="str">
        <f>HYPERLINK("https://twitter.com/7t_alex/status/1613056217739579394")</f>
        <v>https://twitter.com/7t_alex/status/1613056217739579394</v>
      </c>
      <c r="AF353" s="79">
        <v>44937.258634259262</v>
      </c>
      <c r="AG353" s="85">
        <v>44937</v>
      </c>
      <c r="AH353" s="82" t="s">
        <v>3109</v>
      </c>
      <c r="AI353" s="77" t="b">
        <v>0</v>
      </c>
      <c r="AJ353" s="77" t="s">
        <v>3741</v>
      </c>
      <c r="AK353" s="77" t="s">
        <v>3752</v>
      </c>
      <c r="AL353" s="77" t="s">
        <v>3755</v>
      </c>
      <c r="AM353" s="77" t="s">
        <v>3765</v>
      </c>
      <c r="AN353" s="77" t="s">
        <v>3781</v>
      </c>
      <c r="AO353" s="77" t="s">
        <v>3799</v>
      </c>
      <c r="AP353" s="77" t="s">
        <v>3808</v>
      </c>
      <c r="AQ353" s="77" t="s">
        <v>4080</v>
      </c>
      <c r="AR353" s="77">
        <v>15766</v>
      </c>
      <c r="AS353" s="77"/>
      <c r="AT353" s="77"/>
      <c r="AU353" s="77"/>
      <c r="AV353" s="80" t="str">
        <f>HYPERLINK("https://pbs.twimg.com/ext_tw_video_thumb/1613056164056424449/pu/img/MekmxwL_2oN-Tteg.jpg")</f>
        <v>https://pbs.twimg.com/ext_tw_video_thumb/1613056164056424449/pu/img/MekmxwL_2oN-Tteg.jpg</v>
      </c>
      <c r="AW353" s="82" t="s">
        <v>4687</v>
      </c>
      <c r="AX353" s="82" t="s">
        <v>4687</v>
      </c>
      <c r="AY353" s="77"/>
      <c r="AZ353" s="82" t="s">
        <v>5615</v>
      </c>
      <c r="BA353" s="82" t="s">
        <v>5615</v>
      </c>
      <c r="BB353" s="82" t="s">
        <v>5615</v>
      </c>
      <c r="BC353" s="82" t="s">
        <v>4687</v>
      </c>
      <c r="BD353" s="77">
        <v>195792807</v>
      </c>
      <c r="BE353" s="77"/>
      <c r="BF353" s="77"/>
      <c r="BG353" s="77"/>
      <c r="BH353" s="77"/>
      <c r="BI353" s="77"/>
    </row>
    <row r="354" spans="1:61" x14ac:dyDescent="0.25">
      <c r="A354" s="62" t="s">
        <v>376</v>
      </c>
      <c r="B354" s="62" t="s">
        <v>376</v>
      </c>
      <c r="C354" s="63"/>
      <c r="D354" s="64"/>
      <c r="E354" s="65"/>
      <c r="F354" s="66"/>
      <c r="G354" s="63"/>
      <c r="H354" s="67"/>
      <c r="I354" s="68"/>
      <c r="J354" s="68"/>
      <c r="K354" s="32"/>
      <c r="L354" s="75">
        <v>354</v>
      </c>
      <c r="M354" s="75"/>
      <c r="N354" s="70"/>
      <c r="O354" s="77" t="s">
        <v>179</v>
      </c>
      <c r="P354" s="79">
        <v>45124.625</v>
      </c>
      <c r="Q354" s="77" t="s">
        <v>936</v>
      </c>
      <c r="R354" s="77">
        <v>0</v>
      </c>
      <c r="S354" s="77">
        <v>0</v>
      </c>
      <c r="T354" s="77">
        <v>0</v>
      </c>
      <c r="U354" s="77">
        <v>0</v>
      </c>
      <c r="V354" s="77">
        <v>26</v>
      </c>
      <c r="W354" s="82" t="s">
        <v>1769</v>
      </c>
      <c r="X354" s="77"/>
      <c r="Y354" s="77"/>
      <c r="Z354" s="77"/>
      <c r="AA354" s="77"/>
      <c r="AB354" s="77"/>
      <c r="AC354" s="82" t="s">
        <v>2722</v>
      </c>
      <c r="AD354" s="77" t="s">
        <v>2752</v>
      </c>
      <c r="AE354" s="80" t="str">
        <f>HYPERLINK("https://twitter.com/xzibank/status/1680955515558416384")</f>
        <v>https://twitter.com/xzibank/status/1680955515558416384</v>
      </c>
      <c r="AF354" s="79">
        <v>45124.625</v>
      </c>
      <c r="AG354" s="85">
        <v>45124</v>
      </c>
      <c r="AH354" s="82" t="s">
        <v>3110</v>
      </c>
      <c r="AI354" s="77"/>
      <c r="AJ354" s="77"/>
      <c r="AK354" s="77"/>
      <c r="AL354" s="77"/>
      <c r="AM354" s="77"/>
      <c r="AN354" s="77"/>
      <c r="AO354" s="77"/>
      <c r="AP354" s="77"/>
      <c r="AQ354" s="77"/>
      <c r="AR354" s="77"/>
      <c r="AS354" s="77"/>
      <c r="AT354" s="77"/>
      <c r="AU354" s="77"/>
      <c r="AV354" s="80" t="str">
        <f>HYPERLINK("https://pbs.twimg.com/profile_images/1639344097834983435/vC5Fb0qP_normal.jpg")</f>
        <v>https://pbs.twimg.com/profile_images/1639344097834983435/vC5Fb0qP_normal.jpg</v>
      </c>
      <c r="AW354" s="82" t="s">
        <v>4688</v>
      </c>
      <c r="AX354" s="82" t="s">
        <v>4688</v>
      </c>
      <c r="AY354" s="77"/>
      <c r="AZ354" s="82" t="s">
        <v>5615</v>
      </c>
      <c r="BA354" s="82" t="s">
        <v>5615</v>
      </c>
      <c r="BB354" s="82" t="s">
        <v>5615</v>
      </c>
      <c r="BC354" s="82" t="s">
        <v>4688</v>
      </c>
      <c r="BD354" s="82" t="s">
        <v>5964</v>
      </c>
      <c r="BE354" s="77"/>
      <c r="BF354" s="77"/>
      <c r="BG354" s="77"/>
      <c r="BH354" s="77"/>
      <c r="BI354" s="77"/>
    </row>
    <row r="355" spans="1:61" x14ac:dyDescent="0.25">
      <c r="A355" s="62" t="s">
        <v>377</v>
      </c>
      <c r="B355" s="62" t="s">
        <v>377</v>
      </c>
      <c r="C355" s="63"/>
      <c r="D355" s="64"/>
      <c r="E355" s="65"/>
      <c r="F355" s="66"/>
      <c r="G355" s="63"/>
      <c r="H355" s="67"/>
      <c r="I355" s="68"/>
      <c r="J355" s="68"/>
      <c r="K355" s="32"/>
      <c r="L355" s="75">
        <v>355</v>
      </c>
      <c r="M355" s="75"/>
      <c r="N355" s="70"/>
      <c r="O355" s="77" t="s">
        <v>179</v>
      </c>
      <c r="P355" s="79">
        <v>45180.627152777779</v>
      </c>
      <c r="Q355" s="77" t="s">
        <v>937</v>
      </c>
      <c r="R355" s="77">
        <v>0</v>
      </c>
      <c r="S355" s="77">
        <v>0</v>
      </c>
      <c r="T355" s="77">
        <v>0</v>
      </c>
      <c r="U355" s="77">
        <v>0</v>
      </c>
      <c r="V355" s="77">
        <v>21</v>
      </c>
      <c r="W355" s="82" t="s">
        <v>1770</v>
      </c>
      <c r="X355" s="80" t="str">
        <f>HYPERLINK("https://ow.ly/qxAH50PBbgO")</f>
        <v>https://ow.ly/qxAH50PBbgO</v>
      </c>
      <c r="Y355" s="77" t="s">
        <v>2157</v>
      </c>
      <c r="Z355" s="77"/>
      <c r="AA355" s="77" t="s">
        <v>2455</v>
      </c>
      <c r="AB355" s="77" t="s">
        <v>2714</v>
      </c>
      <c r="AC355" s="82" t="s">
        <v>2735</v>
      </c>
      <c r="AD355" s="77" t="s">
        <v>2752</v>
      </c>
      <c r="AE355" s="80" t="str">
        <f>HYPERLINK("https://twitter.com/exnova_pt/status/1701250016268980678")</f>
        <v>https://twitter.com/exnova_pt/status/1701250016268980678</v>
      </c>
      <c r="AF355" s="79">
        <v>45180.627152777779</v>
      </c>
      <c r="AG355" s="85">
        <v>45180</v>
      </c>
      <c r="AH355" s="82" t="s">
        <v>3111</v>
      </c>
      <c r="AI355" s="77" t="b">
        <v>0</v>
      </c>
      <c r="AJ355" s="77"/>
      <c r="AK355" s="77"/>
      <c r="AL355" s="77"/>
      <c r="AM355" s="77"/>
      <c r="AN355" s="77"/>
      <c r="AO355" s="77"/>
      <c r="AP355" s="77"/>
      <c r="AQ355" s="77" t="s">
        <v>4081</v>
      </c>
      <c r="AR355" s="77"/>
      <c r="AS355" s="77"/>
      <c r="AT355" s="77"/>
      <c r="AU355" s="77"/>
      <c r="AV355" s="80" t="str">
        <f>HYPERLINK("https://pbs.twimg.com/media/F5wN38vXUAAZMOq.jpg")</f>
        <v>https://pbs.twimg.com/media/F5wN38vXUAAZMOq.jpg</v>
      </c>
      <c r="AW355" s="82" t="s">
        <v>4689</v>
      </c>
      <c r="AX355" s="82" t="s">
        <v>4689</v>
      </c>
      <c r="AY355" s="77"/>
      <c r="AZ355" s="82" t="s">
        <v>5615</v>
      </c>
      <c r="BA355" s="82" t="s">
        <v>5615</v>
      </c>
      <c r="BB355" s="82" t="s">
        <v>5615</v>
      </c>
      <c r="BC355" s="82" t="s">
        <v>4689</v>
      </c>
      <c r="BD355" s="82" t="s">
        <v>5965</v>
      </c>
      <c r="BE355" s="77"/>
      <c r="BF355" s="77"/>
      <c r="BG355" s="77"/>
      <c r="BH355" s="77"/>
      <c r="BI355" s="77"/>
    </row>
    <row r="356" spans="1:61" x14ac:dyDescent="0.25">
      <c r="A356" s="62" t="s">
        <v>378</v>
      </c>
      <c r="B356" s="62" t="s">
        <v>378</v>
      </c>
      <c r="C356" s="63"/>
      <c r="D356" s="64"/>
      <c r="E356" s="65"/>
      <c r="F356" s="66"/>
      <c r="G356" s="63"/>
      <c r="H356" s="67"/>
      <c r="I356" s="68"/>
      <c r="J356" s="68"/>
      <c r="K356" s="32"/>
      <c r="L356" s="75">
        <v>356</v>
      </c>
      <c r="M356" s="75"/>
      <c r="N356" s="70"/>
      <c r="O356" s="77" t="s">
        <v>583</v>
      </c>
      <c r="P356" s="79">
        <v>45127.117245370369</v>
      </c>
      <c r="Q356" s="77" t="s">
        <v>938</v>
      </c>
      <c r="R356" s="77">
        <v>0</v>
      </c>
      <c r="S356" s="77">
        <v>0</v>
      </c>
      <c r="T356" s="77">
        <v>0</v>
      </c>
      <c r="U356" s="77">
        <v>0</v>
      </c>
      <c r="V356" s="77">
        <v>9</v>
      </c>
      <c r="W356" s="82" t="s">
        <v>1771</v>
      </c>
      <c r="X356" s="80" t="str">
        <f>HYPERLINK("https://bit.ly/3Yh7Qqh")</f>
        <v>https://bit.ly/3Yh7Qqh</v>
      </c>
      <c r="Y356" s="77" t="s">
        <v>2132</v>
      </c>
      <c r="Z356" s="77"/>
      <c r="AA356" s="77"/>
      <c r="AB356" s="77"/>
      <c r="AC356" s="82" t="s">
        <v>2722</v>
      </c>
      <c r="AD356" s="77" t="s">
        <v>2752</v>
      </c>
      <c r="AE356" s="80" t="str">
        <f>HYPERLINK("https://twitter.com/moisesliins/status/1681858675864920064")</f>
        <v>https://twitter.com/moisesliins/status/1681858675864920064</v>
      </c>
      <c r="AF356" s="79">
        <v>45127.117245370369</v>
      </c>
      <c r="AG356" s="85">
        <v>45127</v>
      </c>
      <c r="AH356" s="82" t="s">
        <v>3112</v>
      </c>
      <c r="AI356" s="77" t="b">
        <v>0</v>
      </c>
      <c r="AJ356" s="77" t="s">
        <v>3736</v>
      </c>
      <c r="AK356" s="77" t="s">
        <v>3752</v>
      </c>
      <c r="AL356" s="77" t="s">
        <v>3755</v>
      </c>
      <c r="AM356" s="77" t="s">
        <v>3760</v>
      </c>
      <c r="AN356" s="77" t="s">
        <v>3776</v>
      </c>
      <c r="AO356" s="77" t="s">
        <v>3794</v>
      </c>
      <c r="AP356" s="77" t="s">
        <v>3808</v>
      </c>
      <c r="AQ356" s="77"/>
      <c r="AR356" s="77"/>
      <c r="AS356" s="77"/>
      <c r="AT356" s="77"/>
      <c r="AU356" s="77"/>
      <c r="AV356" s="80" t="str">
        <f>HYPERLINK("https://pbs.twimg.com/profile_images/1308943085095858176/wvBNHWQM_normal.jpg")</f>
        <v>https://pbs.twimg.com/profile_images/1308943085095858176/wvBNHWQM_normal.jpg</v>
      </c>
      <c r="AW356" s="82" t="s">
        <v>4690</v>
      </c>
      <c r="AX356" s="82" t="s">
        <v>5338</v>
      </c>
      <c r="AY356" s="82" t="s">
        <v>5591</v>
      </c>
      <c r="AZ356" s="82" t="s">
        <v>5338</v>
      </c>
      <c r="BA356" s="82" t="s">
        <v>5615</v>
      </c>
      <c r="BB356" s="82" t="s">
        <v>5615</v>
      </c>
      <c r="BC356" s="82" t="s">
        <v>5338</v>
      </c>
      <c r="BD356" s="77">
        <v>763129934</v>
      </c>
      <c r="BE356" s="77"/>
      <c r="BF356" s="77"/>
      <c r="BG356" s="77"/>
      <c r="BH356" s="77"/>
      <c r="BI356" s="77"/>
    </row>
    <row r="357" spans="1:61" x14ac:dyDescent="0.25">
      <c r="A357" s="62" t="s">
        <v>379</v>
      </c>
      <c r="B357" s="62" t="s">
        <v>379</v>
      </c>
      <c r="C357" s="63"/>
      <c r="D357" s="64"/>
      <c r="E357" s="65"/>
      <c r="F357" s="66"/>
      <c r="G357" s="63"/>
      <c r="H357" s="67"/>
      <c r="I357" s="68"/>
      <c r="J357" s="68"/>
      <c r="K357" s="32"/>
      <c r="L357" s="75">
        <v>357</v>
      </c>
      <c r="M357" s="75"/>
      <c r="N357" s="70"/>
      <c r="O357" s="77" t="s">
        <v>179</v>
      </c>
      <c r="P357" s="79">
        <v>45003.441805555558</v>
      </c>
      <c r="Q357" s="77" t="s">
        <v>939</v>
      </c>
      <c r="R357" s="77">
        <v>0</v>
      </c>
      <c r="S357" s="77">
        <v>0</v>
      </c>
      <c r="T357" s="77">
        <v>0</v>
      </c>
      <c r="U357" s="77">
        <v>0</v>
      </c>
      <c r="V357" s="77">
        <v>44</v>
      </c>
      <c r="W357" s="82" t="s">
        <v>1772</v>
      </c>
      <c r="X357" s="80" t="str">
        <f>HYPERLINK("http://www.trilhacerta.com")</f>
        <v>http://www.trilhacerta.com</v>
      </c>
      <c r="Y357" s="77" t="s">
        <v>2158</v>
      </c>
      <c r="Z357" s="77"/>
      <c r="AA357" s="77" t="s">
        <v>2456</v>
      </c>
      <c r="AB357" s="77" t="s">
        <v>2713</v>
      </c>
      <c r="AC357" s="82" t="s">
        <v>2720</v>
      </c>
      <c r="AD357" s="77" t="s">
        <v>2752</v>
      </c>
      <c r="AE357" s="80" t="str">
        <f>HYPERLINK("https://twitter.com/santoscancio/status/1637040199145234432")</f>
        <v>https://twitter.com/santoscancio/status/1637040199145234432</v>
      </c>
      <c r="AF357" s="79">
        <v>45003.441805555558</v>
      </c>
      <c r="AG357" s="85">
        <v>45003</v>
      </c>
      <c r="AH357" s="82" t="s">
        <v>3113</v>
      </c>
      <c r="AI357" s="77" t="b">
        <v>0</v>
      </c>
      <c r="AJ357" s="77"/>
      <c r="AK357" s="77"/>
      <c r="AL357" s="77"/>
      <c r="AM357" s="77"/>
      <c r="AN357" s="77"/>
      <c r="AO357" s="77"/>
      <c r="AP357" s="77"/>
      <c r="AQ357" s="77" t="s">
        <v>4082</v>
      </c>
      <c r="AR357" s="77">
        <v>9141</v>
      </c>
      <c r="AS357" s="77"/>
      <c r="AT357" s="77"/>
      <c r="AU357" s="77"/>
      <c r="AV357" s="80" t="str">
        <f>HYPERLINK("https://pbs.twimg.com/ext_tw_video_thumb/1637040153632858113/pu/img/9hZ5zSb-yBOb8BIk.jpg")</f>
        <v>https://pbs.twimg.com/ext_tw_video_thumb/1637040153632858113/pu/img/9hZ5zSb-yBOb8BIk.jpg</v>
      </c>
      <c r="AW357" s="82" t="s">
        <v>4691</v>
      </c>
      <c r="AX357" s="82" t="s">
        <v>4691</v>
      </c>
      <c r="AY357" s="77"/>
      <c r="AZ357" s="82" t="s">
        <v>5615</v>
      </c>
      <c r="BA357" s="82" t="s">
        <v>5615</v>
      </c>
      <c r="BB357" s="82" t="s">
        <v>5615</v>
      </c>
      <c r="BC357" s="82" t="s">
        <v>4691</v>
      </c>
      <c r="BD357" s="82" t="s">
        <v>5966</v>
      </c>
      <c r="BE357" s="77"/>
      <c r="BF357" s="77"/>
      <c r="BG357" s="77"/>
      <c r="BH357" s="77"/>
      <c r="BI357" s="77"/>
    </row>
    <row r="358" spans="1:61" x14ac:dyDescent="0.25">
      <c r="A358" s="62" t="s">
        <v>380</v>
      </c>
      <c r="B358" s="62" t="s">
        <v>380</v>
      </c>
      <c r="C358" s="63"/>
      <c r="D358" s="64"/>
      <c r="E358" s="65"/>
      <c r="F358" s="66"/>
      <c r="G358" s="63"/>
      <c r="H358" s="67"/>
      <c r="I358" s="68"/>
      <c r="J358" s="68"/>
      <c r="K358" s="32"/>
      <c r="L358" s="75">
        <v>358</v>
      </c>
      <c r="M358" s="75"/>
      <c r="N358" s="70"/>
      <c r="O358" s="77" t="s">
        <v>179</v>
      </c>
      <c r="P358" s="79">
        <v>44941.451886574076</v>
      </c>
      <c r="Q358" s="77" t="s">
        <v>940</v>
      </c>
      <c r="R358" s="77">
        <v>0</v>
      </c>
      <c r="S358" s="77">
        <v>0</v>
      </c>
      <c r="T358" s="77">
        <v>0</v>
      </c>
      <c r="U358" s="77">
        <v>0</v>
      </c>
      <c r="V358" s="77">
        <v>38</v>
      </c>
      <c r="W358" s="82" t="s">
        <v>1773</v>
      </c>
      <c r="X358" s="77"/>
      <c r="Y358" s="77"/>
      <c r="Z358" s="77"/>
      <c r="AA358" s="77" t="s">
        <v>2457</v>
      </c>
      <c r="AB358" s="77" t="s">
        <v>2713</v>
      </c>
      <c r="AC358" s="82" t="s">
        <v>2719</v>
      </c>
      <c r="AD358" s="77" t="s">
        <v>2751</v>
      </c>
      <c r="AE358" s="80" t="str">
        <f>HYPERLINK("https://twitter.com/tainanzin___/status/1614575801126494208")</f>
        <v>https://twitter.com/tainanzin___/status/1614575801126494208</v>
      </c>
      <c r="AF358" s="79">
        <v>44941.451886574076</v>
      </c>
      <c r="AG358" s="85">
        <v>44941</v>
      </c>
      <c r="AH358" s="82" t="s">
        <v>3114</v>
      </c>
      <c r="AI358" s="77" t="b">
        <v>0</v>
      </c>
      <c r="AJ358" s="77"/>
      <c r="AK358" s="77"/>
      <c r="AL358" s="77"/>
      <c r="AM358" s="77"/>
      <c r="AN358" s="77"/>
      <c r="AO358" s="77"/>
      <c r="AP358" s="77"/>
      <c r="AQ358" s="77" t="s">
        <v>4083</v>
      </c>
      <c r="AR358" s="77">
        <v>8880</v>
      </c>
      <c r="AS358" s="77"/>
      <c r="AT358" s="77"/>
      <c r="AU358" s="77"/>
      <c r="AV358" s="80" t="str">
        <f>HYPERLINK("https://pbs.twimg.com/ext_tw_video_thumb/1614575761624629249/pu/img/KeRmoxn5SVsa7TdS.jpg")</f>
        <v>https://pbs.twimg.com/ext_tw_video_thumb/1614575761624629249/pu/img/KeRmoxn5SVsa7TdS.jpg</v>
      </c>
      <c r="AW358" s="82" t="s">
        <v>4692</v>
      </c>
      <c r="AX358" s="82" t="s">
        <v>4692</v>
      </c>
      <c r="AY358" s="77"/>
      <c r="AZ358" s="82" t="s">
        <v>5615</v>
      </c>
      <c r="BA358" s="82" t="s">
        <v>5615</v>
      </c>
      <c r="BB358" s="82" t="s">
        <v>5615</v>
      </c>
      <c r="BC358" s="82" t="s">
        <v>4692</v>
      </c>
      <c r="BD358" s="82" t="s">
        <v>5967</v>
      </c>
      <c r="BE358" s="77"/>
      <c r="BF358" s="77"/>
      <c r="BG358" s="77"/>
      <c r="BH358" s="77"/>
      <c r="BI358" s="77"/>
    </row>
    <row r="359" spans="1:61" x14ac:dyDescent="0.25">
      <c r="A359" s="62" t="s">
        <v>381</v>
      </c>
      <c r="B359" s="62" t="s">
        <v>381</v>
      </c>
      <c r="C359" s="63"/>
      <c r="D359" s="64"/>
      <c r="E359" s="65"/>
      <c r="F359" s="66"/>
      <c r="G359" s="63"/>
      <c r="H359" s="67"/>
      <c r="I359" s="68"/>
      <c r="J359" s="68"/>
      <c r="K359" s="32"/>
      <c r="L359" s="75">
        <v>359</v>
      </c>
      <c r="M359" s="75"/>
      <c r="N359" s="70"/>
      <c r="O359" s="77" t="s">
        <v>179</v>
      </c>
      <c r="P359" s="79">
        <v>45060.60423611111</v>
      </c>
      <c r="Q359" s="77" t="s">
        <v>941</v>
      </c>
      <c r="R359" s="77">
        <v>1</v>
      </c>
      <c r="S359" s="77">
        <v>4</v>
      </c>
      <c r="T359" s="77">
        <v>5</v>
      </c>
      <c r="U359" s="77">
        <v>0</v>
      </c>
      <c r="V359" s="77">
        <v>142</v>
      </c>
      <c r="W359" s="82" t="s">
        <v>1774</v>
      </c>
      <c r="X359" s="77"/>
      <c r="Y359" s="77"/>
      <c r="Z359" s="77"/>
      <c r="AA359" s="77" t="s">
        <v>2458</v>
      </c>
      <c r="AB359" s="77" t="s">
        <v>2713</v>
      </c>
      <c r="AC359" s="82" t="s">
        <v>2733</v>
      </c>
      <c r="AD359" s="77" t="s">
        <v>2752</v>
      </c>
      <c r="AE359" s="80" t="str">
        <f>HYPERLINK("https://twitter.com/criptobtc_/status/1657755167414968321")</f>
        <v>https://twitter.com/criptobtc_/status/1657755167414968321</v>
      </c>
      <c r="AF359" s="79">
        <v>45060.60423611111</v>
      </c>
      <c r="AG359" s="85">
        <v>45060</v>
      </c>
      <c r="AH359" s="82" t="s">
        <v>3115</v>
      </c>
      <c r="AI359" s="77" t="b">
        <v>0</v>
      </c>
      <c r="AJ359" s="77"/>
      <c r="AK359" s="77"/>
      <c r="AL359" s="77"/>
      <c r="AM359" s="77"/>
      <c r="AN359" s="77"/>
      <c r="AO359" s="77"/>
      <c r="AP359" s="77"/>
      <c r="AQ359" s="77" t="s">
        <v>4084</v>
      </c>
      <c r="AR359" s="77">
        <v>33300</v>
      </c>
      <c r="AS359" s="77"/>
      <c r="AT359" s="77"/>
      <c r="AU359" s="77"/>
      <c r="AV359" s="80" t="str">
        <f>HYPERLINK("https://pbs.twimg.com/ext_tw_video_thumb/1657755084468502529/pu/img/jeKWU_0a7HWRCNTY.jpg")</f>
        <v>https://pbs.twimg.com/ext_tw_video_thumb/1657755084468502529/pu/img/jeKWU_0a7HWRCNTY.jpg</v>
      </c>
      <c r="AW359" s="82" t="s">
        <v>4693</v>
      </c>
      <c r="AX359" s="82" t="s">
        <v>4693</v>
      </c>
      <c r="AY359" s="77"/>
      <c r="AZ359" s="82" t="s">
        <v>5615</v>
      </c>
      <c r="BA359" s="82" t="s">
        <v>5615</v>
      </c>
      <c r="BB359" s="82" t="s">
        <v>5615</v>
      </c>
      <c r="BC359" s="82" t="s">
        <v>4693</v>
      </c>
      <c r="BD359" s="82" t="s">
        <v>5968</v>
      </c>
      <c r="BE359" s="77"/>
      <c r="BF359" s="77"/>
      <c r="BG359" s="77"/>
      <c r="BH359" s="77"/>
      <c r="BI359" s="77"/>
    </row>
    <row r="360" spans="1:61" x14ac:dyDescent="0.25">
      <c r="A360" s="62" t="s">
        <v>382</v>
      </c>
      <c r="B360" s="62" t="s">
        <v>570</v>
      </c>
      <c r="C360" s="63"/>
      <c r="D360" s="64"/>
      <c r="E360" s="65"/>
      <c r="F360" s="66"/>
      <c r="G360" s="63"/>
      <c r="H360" s="67"/>
      <c r="I360" s="68"/>
      <c r="J360" s="68"/>
      <c r="K360" s="32"/>
      <c r="L360" s="75">
        <v>360</v>
      </c>
      <c r="M360" s="75"/>
      <c r="N360" s="70"/>
      <c r="O360" s="77" t="s">
        <v>583</v>
      </c>
      <c r="P360" s="79">
        <v>45157.975972222222</v>
      </c>
      <c r="Q360" s="77" t="s">
        <v>942</v>
      </c>
      <c r="R360" s="77">
        <v>0</v>
      </c>
      <c r="S360" s="77">
        <v>1</v>
      </c>
      <c r="T360" s="77">
        <v>0</v>
      </c>
      <c r="U360" s="77">
        <v>0</v>
      </c>
      <c r="V360" s="77">
        <v>11</v>
      </c>
      <c r="W360" s="82" t="s">
        <v>1775</v>
      </c>
      <c r="X360" s="77"/>
      <c r="Y360" s="77"/>
      <c r="Z360" s="77" t="s">
        <v>570</v>
      </c>
      <c r="AA360" s="77"/>
      <c r="AB360" s="77"/>
      <c r="AC360" s="82" t="s">
        <v>2722</v>
      </c>
      <c r="AD360" s="77" t="s">
        <v>2752</v>
      </c>
      <c r="AE360" s="80" t="str">
        <f>HYPERLINK("https://twitter.com/godisahodler/status/1693041503600271399")</f>
        <v>https://twitter.com/godisahodler/status/1693041503600271399</v>
      </c>
      <c r="AF360" s="79">
        <v>45157.975972222222</v>
      </c>
      <c r="AG360" s="85">
        <v>45157</v>
      </c>
      <c r="AH360" s="82" t="s">
        <v>3116</v>
      </c>
      <c r="AI360" s="77"/>
      <c r="AJ360" s="77"/>
      <c r="AK360" s="77"/>
      <c r="AL360" s="77"/>
      <c r="AM360" s="77"/>
      <c r="AN360" s="77"/>
      <c r="AO360" s="77"/>
      <c r="AP360" s="77"/>
      <c r="AQ360" s="77"/>
      <c r="AR360" s="77"/>
      <c r="AS360" s="77"/>
      <c r="AT360" s="77"/>
      <c r="AU360" s="77"/>
      <c r="AV360" s="80" t="str">
        <f>HYPERLINK("https://pbs.twimg.com/profile_images/1691059521437757440/KdSqsQh3_normal.png")</f>
        <v>https://pbs.twimg.com/profile_images/1691059521437757440/KdSqsQh3_normal.png</v>
      </c>
      <c r="AW360" s="82" t="s">
        <v>4694</v>
      </c>
      <c r="AX360" s="82" t="s">
        <v>5339</v>
      </c>
      <c r="AY360" s="82" t="s">
        <v>5592</v>
      </c>
      <c r="AZ360" s="82" t="s">
        <v>5339</v>
      </c>
      <c r="BA360" s="82" t="s">
        <v>5615</v>
      </c>
      <c r="BB360" s="82" t="s">
        <v>5615</v>
      </c>
      <c r="BC360" s="82" t="s">
        <v>5339</v>
      </c>
      <c r="BD360" s="82" t="s">
        <v>5969</v>
      </c>
      <c r="BE360" s="77"/>
      <c r="BF360" s="77"/>
      <c r="BG360" s="77"/>
      <c r="BH360" s="77"/>
      <c r="BI360" s="77"/>
    </row>
    <row r="361" spans="1:61" x14ac:dyDescent="0.25">
      <c r="A361" s="62" t="s">
        <v>383</v>
      </c>
      <c r="B361" s="62" t="s">
        <v>383</v>
      </c>
      <c r="C361" s="63"/>
      <c r="D361" s="64"/>
      <c r="E361" s="65"/>
      <c r="F361" s="66"/>
      <c r="G361" s="63"/>
      <c r="H361" s="67"/>
      <c r="I361" s="68"/>
      <c r="J361" s="68"/>
      <c r="K361" s="32"/>
      <c r="L361" s="75">
        <v>361</v>
      </c>
      <c r="M361" s="75"/>
      <c r="N361" s="70"/>
      <c r="O361" s="77" t="s">
        <v>179</v>
      </c>
      <c r="P361" s="79">
        <v>44960.989791666667</v>
      </c>
      <c r="Q361" s="77" t="s">
        <v>943</v>
      </c>
      <c r="R361" s="77">
        <v>0</v>
      </c>
      <c r="S361" s="77">
        <v>2</v>
      </c>
      <c r="T361" s="77">
        <v>0</v>
      </c>
      <c r="U361" s="77">
        <v>0</v>
      </c>
      <c r="V361" s="77">
        <v>7</v>
      </c>
      <c r="W361" s="82" t="s">
        <v>1776</v>
      </c>
      <c r="X361" s="77"/>
      <c r="Y361" s="77"/>
      <c r="Z361" s="77"/>
      <c r="AA361" s="77"/>
      <c r="AB361" s="77"/>
      <c r="AC361" s="82" t="s">
        <v>2722</v>
      </c>
      <c r="AD361" s="77" t="s">
        <v>2752</v>
      </c>
      <c r="AE361" s="80" t="str">
        <f>HYPERLINK("https://twitter.com/modelodevida_/status/1621656104966197250")</f>
        <v>https://twitter.com/modelodevida_/status/1621656104966197250</v>
      </c>
      <c r="AF361" s="79">
        <v>44960.989791666667</v>
      </c>
      <c r="AG361" s="85">
        <v>44960</v>
      </c>
      <c r="AH361" s="82" t="s">
        <v>3117</v>
      </c>
      <c r="AI361" s="77"/>
      <c r="AJ361" s="77"/>
      <c r="AK361" s="77"/>
      <c r="AL361" s="77"/>
      <c r="AM361" s="77"/>
      <c r="AN361" s="77"/>
      <c r="AO361" s="77"/>
      <c r="AP361" s="77"/>
      <c r="AQ361" s="77"/>
      <c r="AR361" s="77"/>
      <c r="AS361" s="77"/>
      <c r="AT361" s="77"/>
      <c r="AU361" s="77"/>
      <c r="AV361" s="80" t="str">
        <f>HYPERLINK("https://pbs.twimg.com/profile_images/1618357365631229952/XowZbCmN_normal.jpg")</f>
        <v>https://pbs.twimg.com/profile_images/1618357365631229952/XowZbCmN_normal.jpg</v>
      </c>
      <c r="AW361" s="82" t="s">
        <v>4695</v>
      </c>
      <c r="AX361" s="82" t="s">
        <v>4695</v>
      </c>
      <c r="AY361" s="77"/>
      <c r="AZ361" s="82" t="s">
        <v>5615</v>
      </c>
      <c r="BA361" s="82" t="s">
        <v>5615</v>
      </c>
      <c r="BB361" s="82" t="s">
        <v>5615</v>
      </c>
      <c r="BC361" s="82" t="s">
        <v>4695</v>
      </c>
      <c r="BD361" s="82" t="s">
        <v>5970</v>
      </c>
      <c r="BE361" s="77"/>
      <c r="BF361" s="77"/>
      <c r="BG361" s="77"/>
      <c r="BH361" s="77"/>
      <c r="BI361" s="77"/>
    </row>
    <row r="362" spans="1:61" x14ac:dyDescent="0.25">
      <c r="A362" s="62" t="s">
        <v>384</v>
      </c>
      <c r="B362" s="62" t="s">
        <v>384</v>
      </c>
      <c r="C362" s="63"/>
      <c r="D362" s="64"/>
      <c r="E362" s="65"/>
      <c r="F362" s="66"/>
      <c r="G362" s="63"/>
      <c r="H362" s="67"/>
      <c r="I362" s="68"/>
      <c r="J362" s="68"/>
      <c r="K362" s="32"/>
      <c r="L362" s="75">
        <v>362</v>
      </c>
      <c r="M362" s="75"/>
      <c r="N362" s="70"/>
      <c r="O362" s="77" t="s">
        <v>179</v>
      </c>
      <c r="P362" s="79">
        <v>44958.544629629629</v>
      </c>
      <c r="Q362" s="77" t="s">
        <v>944</v>
      </c>
      <c r="R362" s="77">
        <v>0</v>
      </c>
      <c r="S362" s="77">
        <v>0</v>
      </c>
      <c r="T362" s="77">
        <v>0</v>
      </c>
      <c r="U362" s="77">
        <v>0</v>
      </c>
      <c r="V362" s="77">
        <v>5</v>
      </c>
      <c r="W362" s="82" t="s">
        <v>1777</v>
      </c>
      <c r="X362" s="77"/>
      <c r="Y362" s="77"/>
      <c r="Z362" s="77"/>
      <c r="AA362" s="77" t="s">
        <v>2459</v>
      </c>
      <c r="AB362" s="77" t="s">
        <v>2714</v>
      </c>
      <c r="AC362" s="82" t="s">
        <v>2736</v>
      </c>
      <c r="AD362" s="77" t="s">
        <v>2753</v>
      </c>
      <c r="AE362" s="80" t="str">
        <f>HYPERLINK("https://twitter.com/alessan87651124/status/1620770005024661507")</f>
        <v>https://twitter.com/alessan87651124/status/1620770005024661507</v>
      </c>
      <c r="AF362" s="79">
        <v>44958.544629629629</v>
      </c>
      <c r="AG362" s="85">
        <v>44958</v>
      </c>
      <c r="AH362" s="82" t="s">
        <v>3118</v>
      </c>
      <c r="AI362" s="77" t="b">
        <v>0</v>
      </c>
      <c r="AJ362" s="77"/>
      <c r="AK362" s="77"/>
      <c r="AL362" s="77"/>
      <c r="AM362" s="77"/>
      <c r="AN362" s="77"/>
      <c r="AO362" s="77"/>
      <c r="AP362" s="77"/>
      <c r="AQ362" s="77" t="s">
        <v>4085</v>
      </c>
      <c r="AR362" s="77"/>
      <c r="AS362" s="77"/>
      <c r="AT362" s="77"/>
      <c r="AU362" s="77"/>
      <c r="AV362" s="80" t="str">
        <f>HYPERLINK("https://pbs.twimg.com/media/Fn4huoFaYAIKkoB.jpg")</f>
        <v>https://pbs.twimg.com/media/Fn4huoFaYAIKkoB.jpg</v>
      </c>
      <c r="AW362" s="82" t="s">
        <v>4696</v>
      </c>
      <c r="AX362" s="82" t="s">
        <v>4696</v>
      </c>
      <c r="AY362" s="77"/>
      <c r="AZ362" s="82" t="s">
        <v>5615</v>
      </c>
      <c r="BA362" s="82" t="s">
        <v>5615</v>
      </c>
      <c r="BB362" s="82" t="s">
        <v>5615</v>
      </c>
      <c r="BC362" s="82" t="s">
        <v>4696</v>
      </c>
      <c r="BD362" s="82" t="s">
        <v>5971</v>
      </c>
      <c r="BE362" s="77"/>
      <c r="BF362" s="77"/>
      <c r="BG362" s="77"/>
      <c r="BH362" s="77"/>
      <c r="BI362" s="77"/>
    </row>
    <row r="363" spans="1:61" x14ac:dyDescent="0.25">
      <c r="A363" s="62" t="s">
        <v>385</v>
      </c>
      <c r="B363" s="62" t="s">
        <v>385</v>
      </c>
      <c r="C363" s="63"/>
      <c r="D363" s="64"/>
      <c r="E363" s="65"/>
      <c r="F363" s="66"/>
      <c r="G363" s="63"/>
      <c r="H363" s="67"/>
      <c r="I363" s="68"/>
      <c r="J363" s="68"/>
      <c r="K363" s="32"/>
      <c r="L363" s="75">
        <v>363</v>
      </c>
      <c r="M363" s="75"/>
      <c r="N363" s="70"/>
      <c r="O363" s="77" t="s">
        <v>179</v>
      </c>
      <c r="P363" s="79">
        <v>45137.364490740743</v>
      </c>
      <c r="Q363" s="77" t="s">
        <v>945</v>
      </c>
      <c r="R363" s="77">
        <v>0</v>
      </c>
      <c r="S363" s="77">
        <v>0</v>
      </c>
      <c r="T363" s="77">
        <v>0</v>
      </c>
      <c r="U363" s="77">
        <v>0</v>
      </c>
      <c r="V363" s="77">
        <v>5</v>
      </c>
      <c r="W363" s="82" t="s">
        <v>1778</v>
      </c>
      <c r="X363" s="77"/>
      <c r="Y363" s="77"/>
      <c r="Z363" s="77"/>
      <c r="AA363" s="77" t="s">
        <v>2460</v>
      </c>
      <c r="AB363" s="77" t="s">
        <v>2714</v>
      </c>
      <c r="AC363" s="82" t="s">
        <v>2719</v>
      </c>
      <c r="AD363" s="77" t="s">
        <v>2752</v>
      </c>
      <c r="AE363" s="80" t="str">
        <f>HYPERLINK("https://twitter.com/fuvirbrasil/status/1685572154387992576")</f>
        <v>https://twitter.com/fuvirbrasil/status/1685572154387992576</v>
      </c>
      <c r="AF363" s="79">
        <v>45137.364490740743</v>
      </c>
      <c r="AG363" s="85">
        <v>45137</v>
      </c>
      <c r="AH363" s="82" t="s">
        <v>3119</v>
      </c>
      <c r="AI363" s="77" t="b">
        <v>0</v>
      </c>
      <c r="AJ363" s="77"/>
      <c r="AK363" s="77"/>
      <c r="AL363" s="77"/>
      <c r="AM363" s="77"/>
      <c r="AN363" s="77"/>
      <c r="AO363" s="77"/>
      <c r="AP363" s="77"/>
      <c r="AQ363" s="77" t="s">
        <v>4086</v>
      </c>
      <c r="AR363" s="77"/>
      <c r="AS363" s="77"/>
      <c r="AT363" s="77"/>
      <c r="AU363" s="77"/>
      <c r="AV363" s="80" t="str">
        <f>HYPERLINK("https://pbs.twimg.com/media/F2Ra8HkXYAA6hIJ.jpg")</f>
        <v>https://pbs.twimg.com/media/F2Ra8HkXYAA6hIJ.jpg</v>
      </c>
      <c r="AW363" s="82" t="s">
        <v>4697</v>
      </c>
      <c r="AX363" s="82" t="s">
        <v>4697</v>
      </c>
      <c r="AY363" s="77"/>
      <c r="AZ363" s="82" t="s">
        <v>5615</v>
      </c>
      <c r="BA363" s="82" t="s">
        <v>5615</v>
      </c>
      <c r="BB363" s="82" t="s">
        <v>5615</v>
      </c>
      <c r="BC363" s="82" t="s">
        <v>4697</v>
      </c>
      <c r="BD363" s="82" t="s">
        <v>5972</v>
      </c>
      <c r="BE363" s="77"/>
      <c r="BF363" s="77"/>
      <c r="BG363" s="77"/>
      <c r="BH363" s="77"/>
      <c r="BI363" s="77"/>
    </row>
    <row r="364" spans="1:61" x14ac:dyDescent="0.25">
      <c r="A364" s="62" t="s">
        <v>386</v>
      </c>
      <c r="B364" s="62" t="s">
        <v>386</v>
      </c>
      <c r="C364" s="63"/>
      <c r="D364" s="64"/>
      <c r="E364" s="65"/>
      <c r="F364" s="66"/>
      <c r="G364" s="63"/>
      <c r="H364" s="67"/>
      <c r="I364" s="68"/>
      <c r="J364" s="68"/>
      <c r="K364" s="32"/>
      <c r="L364" s="75">
        <v>364</v>
      </c>
      <c r="M364" s="75"/>
      <c r="N364" s="70"/>
      <c r="O364" s="77" t="s">
        <v>179</v>
      </c>
      <c r="P364" s="79">
        <v>44932.472905092596</v>
      </c>
      <c r="Q364" s="77" t="s">
        <v>946</v>
      </c>
      <c r="R364" s="77">
        <v>0</v>
      </c>
      <c r="S364" s="77">
        <v>0</v>
      </c>
      <c r="T364" s="77">
        <v>0</v>
      </c>
      <c r="U364" s="77">
        <v>0</v>
      </c>
      <c r="V364" s="77">
        <v>33</v>
      </c>
      <c r="W364" s="82" t="s">
        <v>1617</v>
      </c>
      <c r="X364" s="77"/>
      <c r="Y364" s="77"/>
      <c r="Z364" s="77"/>
      <c r="AA364" s="77" t="s">
        <v>2461</v>
      </c>
      <c r="AB364" s="77" t="s">
        <v>2713</v>
      </c>
      <c r="AC364" s="82" t="s">
        <v>2719</v>
      </c>
      <c r="AD364" s="77" t="s">
        <v>2752</v>
      </c>
      <c r="AE364" s="80" t="str">
        <f>HYPERLINK("https://twitter.com/henriquemg/status/1611321927397961728")</f>
        <v>https://twitter.com/henriquemg/status/1611321927397961728</v>
      </c>
      <c r="AF364" s="79">
        <v>44932.472905092596</v>
      </c>
      <c r="AG364" s="85">
        <v>44932</v>
      </c>
      <c r="AH364" s="82" t="s">
        <v>3120</v>
      </c>
      <c r="AI364" s="77" t="b">
        <v>0</v>
      </c>
      <c r="AJ364" s="77"/>
      <c r="AK364" s="77"/>
      <c r="AL364" s="77"/>
      <c r="AM364" s="77"/>
      <c r="AN364" s="77"/>
      <c r="AO364" s="77"/>
      <c r="AP364" s="77"/>
      <c r="AQ364" s="77" t="s">
        <v>4087</v>
      </c>
      <c r="AR364" s="77">
        <v>52614</v>
      </c>
      <c r="AS364" s="77"/>
      <c r="AT364" s="77"/>
      <c r="AU364" s="77"/>
      <c r="AV364" s="80" t="str">
        <f>HYPERLINK("https://pbs.twimg.com/ext_tw_video_thumb/1611321845877178368/pu/img/iGk5wfwSAIOAhw_p.jpg")</f>
        <v>https://pbs.twimg.com/ext_tw_video_thumb/1611321845877178368/pu/img/iGk5wfwSAIOAhw_p.jpg</v>
      </c>
      <c r="AW364" s="82" t="s">
        <v>4698</v>
      </c>
      <c r="AX364" s="82" t="s">
        <v>4698</v>
      </c>
      <c r="AY364" s="77"/>
      <c r="AZ364" s="82" t="s">
        <v>5615</v>
      </c>
      <c r="BA364" s="82" t="s">
        <v>5615</v>
      </c>
      <c r="BB364" s="82" t="s">
        <v>5615</v>
      </c>
      <c r="BC364" s="82" t="s">
        <v>4698</v>
      </c>
      <c r="BD364" s="77">
        <v>19468254</v>
      </c>
      <c r="BE364" s="77"/>
      <c r="BF364" s="77"/>
      <c r="BG364" s="77"/>
      <c r="BH364" s="77"/>
      <c r="BI364" s="77"/>
    </row>
    <row r="365" spans="1:61" x14ac:dyDescent="0.25">
      <c r="A365" s="62" t="s">
        <v>386</v>
      </c>
      <c r="B365" s="62" t="s">
        <v>386</v>
      </c>
      <c r="C365" s="63"/>
      <c r="D365" s="64"/>
      <c r="E365" s="65"/>
      <c r="F365" s="66"/>
      <c r="G365" s="63"/>
      <c r="H365" s="67"/>
      <c r="I365" s="68"/>
      <c r="J365" s="68"/>
      <c r="K365" s="32"/>
      <c r="L365" s="75">
        <v>365</v>
      </c>
      <c r="M365" s="75"/>
      <c r="N365" s="70"/>
      <c r="O365" s="77" t="s">
        <v>179</v>
      </c>
      <c r="P365" s="79">
        <v>44928.468194444446</v>
      </c>
      <c r="Q365" s="77" t="s">
        <v>947</v>
      </c>
      <c r="R365" s="77">
        <v>0</v>
      </c>
      <c r="S365" s="77">
        <v>0</v>
      </c>
      <c r="T365" s="77">
        <v>0</v>
      </c>
      <c r="U365" s="77">
        <v>0</v>
      </c>
      <c r="V365" s="77">
        <v>32</v>
      </c>
      <c r="W365" s="82" t="s">
        <v>1779</v>
      </c>
      <c r="X365" s="77"/>
      <c r="Y365" s="77"/>
      <c r="Z365" s="77"/>
      <c r="AA365" s="77" t="s">
        <v>2462</v>
      </c>
      <c r="AB365" s="77" t="s">
        <v>2713</v>
      </c>
      <c r="AC365" s="82" t="s">
        <v>2719</v>
      </c>
      <c r="AD365" s="77" t="s">
        <v>2752</v>
      </c>
      <c r="AE365" s="80" t="str">
        <f>HYPERLINK("https://twitter.com/henriquemg/status/1609870670040555520")</f>
        <v>https://twitter.com/henriquemg/status/1609870670040555520</v>
      </c>
      <c r="AF365" s="79">
        <v>44928.468194444446</v>
      </c>
      <c r="AG365" s="85">
        <v>44928</v>
      </c>
      <c r="AH365" s="82" t="s">
        <v>3121</v>
      </c>
      <c r="AI365" s="77" t="b">
        <v>0</v>
      </c>
      <c r="AJ365" s="77"/>
      <c r="AK365" s="77"/>
      <c r="AL365" s="77"/>
      <c r="AM365" s="77"/>
      <c r="AN365" s="77"/>
      <c r="AO365" s="77"/>
      <c r="AP365" s="77"/>
      <c r="AQ365" s="77" t="s">
        <v>4088</v>
      </c>
      <c r="AR365" s="77">
        <v>38706</v>
      </c>
      <c r="AS365" s="77"/>
      <c r="AT365" s="77"/>
      <c r="AU365" s="77"/>
      <c r="AV365" s="80" t="str">
        <f>HYPERLINK("https://pbs.twimg.com/ext_tw_video_thumb/1609870604915597313/pu/img/WLjJpiFoe0zM4kJo.jpg")</f>
        <v>https://pbs.twimg.com/ext_tw_video_thumb/1609870604915597313/pu/img/WLjJpiFoe0zM4kJo.jpg</v>
      </c>
      <c r="AW365" s="82" t="s">
        <v>4699</v>
      </c>
      <c r="AX365" s="82" t="s">
        <v>4699</v>
      </c>
      <c r="AY365" s="77"/>
      <c r="AZ365" s="82" t="s">
        <v>5615</v>
      </c>
      <c r="BA365" s="82" t="s">
        <v>5615</v>
      </c>
      <c r="BB365" s="82" t="s">
        <v>5615</v>
      </c>
      <c r="BC365" s="82" t="s">
        <v>4699</v>
      </c>
      <c r="BD365" s="77">
        <v>19468254</v>
      </c>
      <c r="BE365" s="77"/>
      <c r="BF365" s="77"/>
      <c r="BG365" s="77"/>
      <c r="BH365" s="77"/>
      <c r="BI365" s="77"/>
    </row>
    <row r="366" spans="1:61" x14ac:dyDescent="0.25">
      <c r="A366" s="62" t="s">
        <v>387</v>
      </c>
      <c r="B366" s="62" t="s">
        <v>387</v>
      </c>
      <c r="C366" s="63"/>
      <c r="D366" s="64"/>
      <c r="E366" s="65"/>
      <c r="F366" s="66"/>
      <c r="G366" s="63"/>
      <c r="H366" s="67"/>
      <c r="I366" s="68"/>
      <c r="J366" s="68"/>
      <c r="K366" s="32"/>
      <c r="L366" s="75">
        <v>366</v>
      </c>
      <c r="M366" s="75"/>
      <c r="N366" s="70"/>
      <c r="O366" s="77" t="s">
        <v>179</v>
      </c>
      <c r="P366" s="79">
        <v>45181.699513888889</v>
      </c>
      <c r="Q366" s="77" t="s">
        <v>948</v>
      </c>
      <c r="R366" s="77">
        <v>0</v>
      </c>
      <c r="S366" s="77">
        <v>1</v>
      </c>
      <c r="T366" s="77">
        <v>0</v>
      </c>
      <c r="U366" s="77">
        <v>0</v>
      </c>
      <c r="V366" s="77">
        <v>3</v>
      </c>
      <c r="W366" s="82" t="s">
        <v>1780</v>
      </c>
      <c r="X366" s="80" t="str">
        <f>HYPERLINK("https://kiwify.app/9vxnzoH?afid=KdtjJdkO")</f>
        <v>https://kiwify.app/9vxnzoH?afid=KdtjJdkO</v>
      </c>
      <c r="Y366" s="77" t="s">
        <v>2145</v>
      </c>
      <c r="Z366" s="77"/>
      <c r="AA366" s="77" t="s">
        <v>2463</v>
      </c>
      <c r="AB366" s="77" t="s">
        <v>2713</v>
      </c>
      <c r="AC366" s="82" t="s">
        <v>2722</v>
      </c>
      <c r="AD366" s="77" t="s">
        <v>2752</v>
      </c>
      <c r="AE366" s="80" t="str">
        <f>HYPERLINK("https://twitter.com/henrique_soussa/status/1701638626709291151")</f>
        <v>https://twitter.com/henrique_soussa/status/1701638626709291151</v>
      </c>
      <c r="AF366" s="79">
        <v>45181.699513888889</v>
      </c>
      <c r="AG366" s="85">
        <v>45181</v>
      </c>
      <c r="AH366" s="82" t="s">
        <v>3122</v>
      </c>
      <c r="AI366" s="77" t="b">
        <v>0</v>
      </c>
      <c r="AJ366" s="77"/>
      <c r="AK366" s="77"/>
      <c r="AL366" s="77"/>
      <c r="AM366" s="77"/>
      <c r="AN366" s="77"/>
      <c r="AO366" s="77"/>
      <c r="AP366" s="77"/>
      <c r="AQ366" s="77" t="s">
        <v>4089</v>
      </c>
      <c r="AR366" s="77">
        <v>39334</v>
      </c>
      <c r="AS366" s="77"/>
      <c r="AT366" s="77"/>
      <c r="AU366" s="77"/>
      <c r="AV366" s="80" t="str">
        <f>HYPERLINK("https://pbs.twimg.com/ext_tw_video_thumb/1701638190535176192/pu/img/hZDx2gOo8AoMGxVi.jpg")</f>
        <v>https://pbs.twimg.com/ext_tw_video_thumb/1701638190535176192/pu/img/hZDx2gOo8AoMGxVi.jpg</v>
      </c>
      <c r="AW366" s="82" t="s">
        <v>4700</v>
      </c>
      <c r="AX366" s="82" t="s">
        <v>4700</v>
      </c>
      <c r="AY366" s="77"/>
      <c r="AZ366" s="82" t="s">
        <v>5615</v>
      </c>
      <c r="BA366" s="82" t="s">
        <v>5615</v>
      </c>
      <c r="BB366" s="82" t="s">
        <v>5615</v>
      </c>
      <c r="BC366" s="82" t="s">
        <v>4700</v>
      </c>
      <c r="BD366" s="82" t="s">
        <v>5973</v>
      </c>
      <c r="BE366" s="77"/>
      <c r="BF366" s="77"/>
      <c r="BG366" s="77"/>
      <c r="BH366" s="77"/>
      <c r="BI366" s="77"/>
    </row>
    <row r="367" spans="1:61" x14ac:dyDescent="0.25">
      <c r="A367" s="62" t="s">
        <v>387</v>
      </c>
      <c r="B367" s="62" t="s">
        <v>387</v>
      </c>
      <c r="C367" s="63"/>
      <c r="D367" s="64"/>
      <c r="E367" s="65"/>
      <c r="F367" s="66"/>
      <c r="G367" s="63"/>
      <c r="H367" s="67"/>
      <c r="I367" s="68"/>
      <c r="J367" s="68"/>
      <c r="K367" s="32"/>
      <c r="L367" s="75">
        <v>367</v>
      </c>
      <c r="M367" s="75"/>
      <c r="N367" s="70"/>
      <c r="O367" s="77" t="s">
        <v>179</v>
      </c>
      <c r="P367" s="79">
        <v>45181.697557870371</v>
      </c>
      <c r="Q367" s="77" t="s">
        <v>949</v>
      </c>
      <c r="R367" s="77">
        <v>0</v>
      </c>
      <c r="S367" s="77">
        <v>1</v>
      </c>
      <c r="T367" s="77">
        <v>0</v>
      </c>
      <c r="U367" s="77">
        <v>0</v>
      </c>
      <c r="V367" s="77">
        <v>2</v>
      </c>
      <c r="W367" s="82" t="s">
        <v>1781</v>
      </c>
      <c r="X367" s="80" t="str">
        <f>HYPERLINK("https://kiwify.app/9vxnzoH?afid=KdtjJdkO")</f>
        <v>https://kiwify.app/9vxnzoH?afid=KdtjJdkO</v>
      </c>
      <c r="Y367" s="77" t="s">
        <v>2145</v>
      </c>
      <c r="Z367" s="77"/>
      <c r="AA367" s="77" t="s">
        <v>2464</v>
      </c>
      <c r="AB367" s="77" t="s">
        <v>2713</v>
      </c>
      <c r="AC367" s="82" t="s">
        <v>2722</v>
      </c>
      <c r="AD367" s="77" t="s">
        <v>2752</v>
      </c>
      <c r="AE367" s="80" t="str">
        <f>HYPERLINK("https://twitter.com/henrique_soussa/status/1701637917158871440")</f>
        <v>https://twitter.com/henrique_soussa/status/1701637917158871440</v>
      </c>
      <c r="AF367" s="79">
        <v>45181.697557870371</v>
      </c>
      <c r="AG367" s="85">
        <v>45181</v>
      </c>
      <c r="AH367" s="82" t="s">
        <v>3123</v>
      </c>
      <c r="AI367" s="77" t="b">
        <v>0</v>
      </c>
      <c r="AJ367" s="77"/>
      <c r="AK367" s="77"/>
      <c r="AL367" s="77"/>
      <c r="AM367" s="77"/>
      <c r="AN367" s="77"/>
      <c r="AO367" s="77"/>
      <c r="AP367" s="77"/>
      <c r="AQ367" s="77" t="s">
        <v>4090</v>
      </c>
      <c r="AR367" s="77">
        <v>61293</v>
      </c>
      <c r="AS367" s="77"/>
      <c r="AT367" s="77"/>
      <c r="AU367" s="77"/>
      <c r="AV367" s="80" t="str">
        <f>HYPERLINK("https://pbs.twimg.com/ext_tw_video_thumb/1701637370515267584/pu/img/zGyFFT0KxAeFr6Ww.jpg")</f>
        <v>https://pbs.twimg.com/ext_tw_video_thumb/1701637370515267584/pu/img/zGyFFT0KxAeFr6Ww.jpg</v>
      </c>
      <c r="AW367" s="82" t="s">
        <v>4701</v>
      </c>
      <c r="AX367" s="82" t="s">
        <v>4701</v>
      </c>
      <c r="AY367" s="77"/>
      <c r="AZ367" s="82" t="s">
        <v>5615</v>
      </c>
      <c r="BA367" s="82" t="s">
        <v>5615</v>
      </c>
      <c r="BB367" s="82" t="s">
        <v>5615</v>
      </c>
      <c r="BC367" s="82" t="s">
        <v>4701</v>
      </c>
      <c r="BD367" s="82" t="s">
        <v>5973</v>
      </c>
      <c r="BE367" s="77"/>
      <c r="BF367" s="77"/>
      <c r="BG367" s="77"/>
      <c r="BH367" s="77"/>
      <c r="BI367" s="77"/>
    </row>
    <row r="368" spans="1:61" x14ac:dyDescent="0.25">
      <c r="A368" s="62" t="s">
        <v>388</v>
      </c>
      <c r="B368" s="62" t="s">
        <v>388</v>
      </c>
      <c r="C368" s="63"/>
      <c r="D368" s="64"/>
      <c r="E368" s="65"/>
      <c r="F368" s="66"/>
      <c r="G368" s="63"/>
      <c r="H368" s="67"/>
      <c r="I368" s="68"/>
      <c r="J368" s="68"/>
      <c r="K368" s="32"/>
      <c r="L368" s="75">
        <v>368</v>
      </c>
      <c r="M368" s="75"/>
      <c r="N368" s="70"/>
      <c r="O368" s="77" t="s">
        <v>179</v>
      </c>
      <c r="P368" s="79">
        <v>45146.450046296297</v>
      </c>
      <c r="Q368" s="77" t="s">
        <v>950</v>
      </c>
      <c r="R368" s="77">
        <v>0</v>
      </c>
      <c r="S368" s="77">
        <v>2</v>
      </c>
      <c r="T368" s="77">
        <v>0</v>
      </c>
      <c r="U368" s="77">
        <v>0</v>
      </c>
      <c r="V368" s="77">
        <v>191</v>
      </c>
      <c r="W368" s="82" t="s">
        <v>1782</v>
      </c>
      <c r="X368" s="77"/>
      <c r="Y368" s="77"/>
      <c r="Z368" s="77"/>
      <c r="AA368" s="77" t="s">
        <v>2465</v>
      </c>
      <c r="AB368" s="77" t="s">
        <v>2713</v>
      </c>
      <c r="AC368" s="82" t="s">
        <v>2720</v>
      </c>
      <c r="AD368" s="77" t="s">
        <v>2752</v>
      </c>
      <c r="AE368" s="80" t="str">
        <f>HYPERLINK("https://twitter.com/cortesreiratao/status/1688864648035000320")</f>
        <v>https://twitter.com/cortesreiratao/status/1688864648035000320</v>
      </c>
      <c r="AF368" s="79">
        <v>45146.450046296297</v>
      </c>
      <c r="AG368" s="85">
        <v>45146</v>
      </c>
      <c r="AH368" s="82" t="s">
        <v>3124</v>
      </c>
      <c r="AI368" s="77" t="b">
        <v>0</v>
      </c>
      <c r="AJ368" s="77"/>
      <c r="AK368" s="77"/>
      <c r="AL368" s="77"/>
      <c r="AM368" s="77"/>
      <c r="AN368" s="77"/>
      <c r="AO368" s="77"/>
      <c r="AP368" s="77"/>
      <c r="AQ368" s="77" t="s">
        <v>4091</v>
      </c>
      <c r="AR368" s="77">
        <v>29600</v>
      </c>
      <c r="AS368" s="77"/>
      <c r="AT368" s="77"/>
      <c r="AU368" s="77"/>
      <c r="AV368" s="80" t="str">
        <f>HYPERLINK("https://pbs.twimg.com/ext_tw_video_thumb/1688864586919809024/pu/img/33DRLmmeTsj7BD-i.jpg")</f>
        <v>https://pbs.twimg.com/ext_tw_video_thumb/1688864586919809024/pu/img/33DRLmmeTsj7BD-i.jpg</v>
      </c>
      <c r="AW368" s="82" t="s">
        <v>4702</v>
      </c>
      <c r="AX368" s="82" t="s">
        <v>4702</v>
      </c>
      <c r="AY368" s="77"/>
      <c r="AZ368" s="82" t="s">
        <v>5615</v>
      </c>
      <c r="BA368" s="82" t="s">
        <v>5615</v>
      </c>
      <c r="BB368" s="82" t="s">
        <v>5615</v>
      </c>
      <c r="BC368" s="82" t="s">
        <v>4702</v>
      </c>
      <c r="BD368" s="82" t="s">
        <v>5974</v>
      </c>
      <c r="BE368" s="77"/>
      <c r="BF368" s="77"/>
      <c r="BG368" s="77"/>
      <c r="BH368" s="77"/>
      <c r="BI368" s="77"/>
    </row>
    <row r="369" spans="1:61" x14ac:dyDescent="0.25">
      <c r="A369" s="62" t="s">
        <v>389</v>
      </c>
      <c r="B369" s="62" t="s">
        <v>389</v>
      </c>
      <c r="C369" s="63"/>
      <c r="D369" s="64"/>
      <c r="E369" s="65"/>
      <c r="F369" s="66"/>
      <c r="G369" s="63"/>
      <c r="H369" s="67"/>
      <c r="I369" s="68"/>
      <c r="J369" s="68"/>
      <c r="K369" s="32"/>
      <c r="L369" s="75">
        <v>369</v>
      </c>
      <c r="M369" s="75"/>
      <c r="N369" s="70"/>
      <c r="O369" s="77" t="s">
        <v>179</v>
      </c>
      <c r="P369" s="79">
        <v>45108.692395833335</v>
      </c>
      <c r="Q369" s="77" t="s">
        <v>951</v>
      </c>
      <c r="R369" s="77">
        <v>0</v>
      </c>
      <c r="S369" s="77">
        <v>0</v>
      </c>
      <c r="T369" s="77">
        <v>1</v>
      </c>
      <c r="U369" s="77">
        <v>0</v>
      </c>
      <c r="V369" s="77">
        <v>5</v>
      </c>
      <c r="W369" s="82" t="s">
        <v>1783</v>
      </c>
      <c r="X369" s="77"/>
      <c r="Y369" s="77"/>
      <c r="Z369" s="77"/>
      <c r="AA369" s="77"/>
      <c r="AB369" s="77"/>
      <c r="AC369" s="82" t="s">
        <v>2720</v>
      </c>
      <c r="AD369" s="77" t="s">
        <v>2752</v>
      </c>
      <c r="AE369" s="80" t="str">
        <f>HYPERLINK("https://twitter.com/dparainvestidor/status/1675181734948741123")</f>
        <v>https://twitter.com/dparainvestidor/status/1675181734948741123</v>
      </c>
      <c r="AF369" s="79">
        <v>45108.692395833335</v>
      </c>
      <c r="AG369" s="85">
        <v>45108</v>
      </c>
      <c r="AH369" s="82" t="s">
        <v>3125</v>
      </c>
      <c r="AI369" s="77"/>
      <c r="AJ369" s="77"/>
      <c r="AK369" s="77"/>
      <c r="AL369" s="77"/>
      <c r="AM369" s="77"/>
      <c r="AN369" s="77"/>
      <c r="AO369" s="77"/>
      <c r="AP369" s="77"/>
      <c r="AQ369" s="77"/>
      <c r="AR369" s="77"/>
      <c r="AS369" s="77"/>
      <c r="AT369" s="77"/>
      <c r="AU369" s="77"/>
      <c r="AV369" s="80" t="str">
        <f>HYPERLINK("https://pbs.twimg.com/profile_images/1662844906858004480/xz3fk7W2_normal.jpg")</f>
        <v>https://pbs.twimg.com/profile_images/1662844906858004480/xz3fk7W2_normal.jpg</v>
      </c>
      <c r="AW369" s="82" t="s">
        <v>4703</v>
      </c>
      <c r="AX369" s="82" t="s">
        <v>4703</v>
      </c>
      <c r="AY369" s="77"/>
      <c r="AZ369" s="82" t="s">
        <v>5615</v>
      </c>
      <c r="BA369" s="82" t="s">
        <v>5615</v>
      </c>
      <c r="BB369" s="82" t="s">
        <v>5615</v>
      </c>
      <c r="BC369" s="82" t="s">
        <v>4703</v>
      </c>
      <c r="BD369" s="82" t="s">
        <v>5975</v>
      </c>
      <c r="BE369" s="77"/>
      <c r="BF369" s="77"/>
      <c r="BG369" s="77"/>
      <c r="BH369" s="77"/>
      <c r="BI369" s="77"/>
    </row>
    <row r="370" spans="1:61" x14ac:dyDescent="0.25">
      <c r="A370" s="62" t="s">
        <v>389</v>
      </c>
      <c r="B370" s="62" t="s">
        <v>389</v>
      </c>
      <c r="C370" s="63"/>
      <c r="D370" s="64"/>
      <c r="E370" s="65"/>
      <c r="F370" s="66"/>
      <c r="G370" s="63"/>
      <c r="H370" s="67"/>
      <c r="I370" s="68"/>
      <c r="J370" s="68"/>
      <c r="K370" s="32"/>
      <c r="L370" s="75">
        <v>370</v>
      </c>
      <c r="M370" s="75"/>
      <c r="N370" s="70"/>
      <c r="O370" s="77" t="s">
        <v>179</v>
      </c>
      <c r="P370" s="79">
        <v>45151.99790509259</v>
      </c>
      <c r="Q370" s="77" t="s">
        <v>952</v>
      </c>
      <c r="R370" s="77">
        <v>0</v>
      </c>
      <c r="S370" s="77">
        <v>1</v>
      </c>
      <c r="T370" s="77">
        <v>0</v>
      </c>
      <c r="U370" s="77">
        <v>0</v>
      </c>
      <c r="V370" s="77">
        <v>84</v>
      </c>
      <c r="W370" s="82" t="s">
        <v>1784</v>
      </c>
      <c r="X370" s="77"/>
      <c r="Y370" s="77"/>
      <c r="Z370" s="77"/>
      <c r="AA370" s="77" t="s">
        <v>2466</v>
      </c>
      <c r="AB370" s="77" t="s">
        <v>2713</v>
      </c>
      <c r="AC370" s="82" t="s">
        <v>2720</v>
      </c>
      <c r="AD370" s="77" t="s">
        <v>2752</v>
      </c>
      <c r="AE370" s="80" t="str">
        <f>HYPERLINK("https://twitter.com/dparainvestidor/status/1690875124478595072")</f>
        <v>https://twitter.com/dparainvestidor/status/1690875124478595072</v>
      </c>
      <c r="AF370" s="79">
        <v>45151.99790509259</v>
      </c>
      <c r="AG370" s="85">
        <v>45151</v>
      </c>
      <c r="AH370" s="82" t="s">
        <v>3126</v>
      </c>
      <c r="AI370" s="77" t="b">
        <v>0</v>
      </c>
      <c r="AJ370" s="77"/>
      <c r="AK370" s="77"/>
      <c r="AL370" s="77"/>
      <c r="AM370" s="77"/>
      <c r="AN370" s="77"/>
      <c r="AO370" s="77"/>
      <c r="AP370" s="77"/>
      <c r="AQ370" s="77" t="s">
        <v>4092</v>
      </c>
      <c r="AR370" s="77">
        <v>41133</v>
      </c>
      <c r="AS370" s="77"/>
      <c r="AT370" s="77"/>
      <c r="AU370" s="77"/>
      <c r="AV370" s="80" t="str">
        <f>HYPERLINK("https://pbs.twimg.com/ext_tw_video_thumb/1690875065653399553/pu/img/EonWWqAuELXhs0r_.jpg")</f>
        <v>https://pbs.twimg.com/ext_tw_video_thumb/1690875065653399553/pu/img/EonWWqAuELXhs0r_.jpg</v>
      </c>
      <c r="AW370" s="82" t="s">
        <v>4704</v>
      </c>
      <c r="AX370" s="82" t="s">
        <v>4704</v>
      </c>
      <c r="AY370" s="77"/>
      <c r="AZ370" s="82" t="s">
        <v>5615</v>
      </c>
      <c r="BA370" s="82" t="s">
        <v>5615</v>
      </c>
      <c r="BB370" s="82" t="s">
        <v>5615</v>
      </c>
      <c r="BC370" s="82" t="s">
        <v>4704</v>
      </c>
      <c r="BD370" s="82" t="s">
        <v>5975</v>
      </c>
      <c r="BE370" s="77"/>
      <c r="BF370" s="77"/>
      <c r="BG370" s="77"/>
      <c r="BH370" s="77"/>
      <c r="BI370" s="77"/>
    </row>
    <row r="371" spans="1:61" x14ac:dyDescent="0.25">
      <c r="A371" s="62" t="s">
        <v>390</v>
      </c>
      <c r="B371" s="62" t="s">
        <v>390</v>
      </c>
      <c r="C371" s="63"/>
      <c r="D371" s="64"/>
      <c r="E371" s="65"/>
      <c r="F371" s="66"/>
      <c r="G371" s="63"/>
      <c r="H371" s="67"/>
      <c r="I371" s="68"/>
      <c r="J371" s="68"/>
      <c r="K371" s="32"/>
      <c r="L371" s="75">
        <v>371</v>
      </c>
      <c r="M371" s="75"/>
      <c r="N371" s="70"/>
      <c r="O371" s="77" t="s">
        <v>179</v>
      </c>
      <c r="P371" s="79">
        <v>44973.897650462961</v>
      </c>
      <c r="Q371" s="77" t="s">
        <v>953</v>
      </c>
      <c r="R371" s="77">
        <v>0</v>
      </c>
      <c r="S371" s="77">
        <v>1</v>
      </c>
      <c r="T371" s="77">
        <v>0</v>
      </c>
      <c r="U371" s="77">
        <v>0</v>
      </c>
      <c r="V371" s="77">
        <v>559</v>
      </c>
      <c r="W371" s="82" t="s">
        <v>1785</v>
      </c>
      <c r="X371" s="77"/>
      <c r="Y371" s="77"/>
      <c r="Z371" s="77"/>
      <c r="AA371" s="77" t="s">
        <v>2467</v>
      </c>
      <c r="AB371" s="77" t="s">
        <v>2713</v>
      </c>
      <c r="AC371" s="82" t="s">
        <v>2719</v>
      </c>
      <c r="AD371" s="77" t="s">
        <v>2752</v>
      </c>
      <c r="AE371" s="80" t="str">
        <f>HYPERLINK("https://twitter.com/moneyraio/status/1626333754821169152")</f>
        <v>https://twitter.com/moneyraio/status/1626333754821169152</v>
      </c>
      <c r="AF371" s="79">
        <v>44973.897650462961</v>
      </c>
      <c r="AG371" s="85">
        <v>44973</v>
      </c>
      <c r="AH371" s="82" t="s">
        <v>3127</v>
      </c>
      <c r="AI371" s="77" t="b">
        <v>0</v>
      </c>
      <c r="AJ371" s="77"/>
      <c r="AK371" s="77"/>
      <c r="AL371" s="77"/>
      <c r="AM371" s="77"/>
      <c r="AN371" s="77"/>
      <c r="AO371" s="77"/>
      <c r="AP371" s="77"/>
      <c r="AQ371" s="77" t="s">
        <v>4093</v>
      </c>
      <c r="AR371" s="77">
        <v>53033</v>
      </c>
      <c r="AS371" s="77"/>
      <c r="AT371" s="77"/>
      <c r="AU371" s="77"/>
      <c r="AV371" s="80" t="str">
        <f>HYPERLINK("https://pbs.twimg.com/ext_tw_video_thumb/1626333657936928770/pu/img/GEJWBMtDa3NapQ0y.jpg")</f>
        <v>https://pbs.twimg.com/ext_tw_video_thumb/1626333657936928770/pu/img/GEJWBMtDa3NapQ0y.jpg</v>
      </c>
      <c r="AW371" s="82" t="s">
        <v>4705</v>
      </c>
      <c r="AX371" s="82" t="s">
        <v>4705</v>
      </c>
      <c r="AY371" s="77"/>
      <c r="AZ371" s="82" t="s">
        <v>5615</v>
      </c>
      <c r="BA371" s="82" t="s">
        <v>5615</v>
      </c>
      <c r="BB371" s="82" t="s">
        <v>5615</v>
      </c>
      <c r="BC371" s="82" t="s">
        <v>4705</v>
      </c>
      <c r="BD371" s="82" t="s">
        <v>5976</v>
      </c>
      <c r="BE371" s="77"/>
      <c r="BF371" s="77"/>
      <c r="BG371" s="77"/>
      <c r="BH371" s="77"/>
      <c r="BI371" s="77"/>
    </row>
    <row r="372" spans="1:61" x14ac:dyDescent="0.25">
      <c r="A372" s="62" t="s">
        <v>391</v>
      </c>
      <c r="B372" s="62" t="s">
        <v>391</v>
      </c>
      <c r="C372" s="63"/>
      <c r="D372" s="64"/>
      <c r="E372" s="65"/>
      <c r="F372" s="66"/>
      <c r="G372" s="63"/>
      <c r="H372" s="67"/>
      <c r="I372" s="68"/>
      <c r="J372" s="68"/>
      <c r="K372" s="32"/>
      <c r="L372" s="75">
        <v>372</v>
      </c>
      <c r="M372" s="75"/>
      <c r="N372" s="70"/>
      <c r="O372" s="77" t="s">
        <v>179</v>
      </c>
      <c r="P372" s="79">
        <v>44995.448703703703</v>
      </c>
      <c r="Q372" s="77" t="s">
        <v>954</v>
      </c>
      <c r="R372" s="77">
        <v>0</v>
      </c>
      <c r="S372" s="77">
        <v>0</v>
      </c>
      <c r="T372" s="77">
        <v>0</v>
      </c>
      <c r="U372" s="77">
        <v>0</v>
      </c>
      <c r="V372" s="77">
        <v>7</v>
      </c>
      <c r="W372" s="82" t="s">
        <v>1786</v>
      </c>
      <c r="X372" s="80" t="str">
        <f>HYPERLINK("http://www.brainev.com/?a=azizbasry")</f>
        <v>http://www.brainev.com/?a=azizbasry</v>
      </c>
      <c r="Y372" s="77" t="s">
        <v>2159</v>
      </c>
      <c r="Z372" s="77"/>
      <c r="AA372" s="77"/>
      <c r="AB372" s="77"/>
      <c r="AC372" s="82" t="s">
        <v>2722</v>
      </c>
      <c r="AD372" s="77" t="s">
        <v>2754</v>
      </c>
      <c r="AE372" s="80" t="str">
        <f>HYPERLINK("https://twitter.com/azizbasry/status/1634143592712208385")</f>
        <v>https://twitter.com/azizbasry/status/1634143592712208385</v>
      </c>
      <c r="AF372" s="79">
        <v>44995.448703703703</v>
      </c>
      <c r="AG372" s="85">
        <v>44995</v>
      </c>
      <c r="AH372" s="82" t="s">
        <v>3128</v>
      </c>
      <c r="AI372" s="77" t="b">
        <v>0</v>
      </c>
      <c r="AJ372" s="77"/>
      <c r="AK372" s="77"/>
      <c r="AL372" s="77"/>
      <c r="AM372" s="77"/>
      <c r="AN372" s="77"/>
      <c r="AO372" s="77"/>
      <c r="AP372" s="77"/>
      <c r="AQ372" s="77"/>
      <c r="AR372" s="77"/>
      <c r="AS372" s="77"/>
      <c r="AT372" s="77"/>
      <c r="AU372" s="77"/>
      <c r="AV372" s="80" t="str">
        <f>HYPERLINK("https://pbs.twimg.com/profile_images/1620109434906152980/LdPkoH0z_normal.jpg")</f>
        <v>https://pbs.twimg.com/profile_images/1620109434906152980/LdPkoH0z_normal.jpg</v>
      </c>
      <c r="AW372" s="82" t="s">
        <v>4706</v>
      </c>
      <c r="AX372" s="82" t="s">
        <v>4706</v>
      </c>
      <c r="AY372" s="77"/>
      <c r="AZ372" s="82" t="s">
        <v>5615</v>
      </c>
      <c r="BA372" s="82" t="s">
        <v>5615</v>
      </c>
      <c r="BB372" s="82" t="s">
        <v>5615</v>
      </c>
      <c r="BC372" s="82" t="s">
        <v>4706</v>
      </c>
      <c r="BD372" s="77">
        <v>424440280</v>
      </c>
      <c r="BE372" s="77"/>
      <c r="BF372" s="77"/>
      <c r="BG372" s="77"/>
      <c r="BH372" s="77"/>
      <c r="BI372" s="77"/>
    </row>
    <row r="373" spans="1:61" x14ac:dyDescent="0.25">
      <c r="A373" s="62" t="s">
        <v>392</v>
      </c>
      <c r="B373" s="62" t="s">
        <v>392</v>
      </c>
      <c r="C373" s="63"/>
      <c r="D373" s="64"/>
      <c r="E373" s="65"/>
      <c r="F373" s="66"/>
      <c r="G373" s="63"/>
      <c r="H373" s="67"/>
      <c r="I373" s="68"/>
      <c r="J373" s="68"/>
      <c r="K373" s="32"/>
      <c r="L373" s="75">
        <v>373</v>
      </c>
      <c r="M373" s="75"/>
      <c r="N373" s="70"/>
      <c r="O373" s="77" t="s">
        <v>179</v>
      </c>
      <c r="P373" s="79">
        <v>45020.139317129629</v>
      </c>
      <c r="Q373" s="77" t="s">
        <v>955</v>
      </c>
      <c r="R373" s="77">
        <v>0</v>
      </c>
      <c r="S373" s="77">
        <v>1</v>
      </c>
      <c r="T373" s="77">
        <v>0</v>
      </c>
      <c r="U373" s="77">
        <v>0</v>
      </c>
      <c r="V373" s="77">
        <v>9</v>
      </c>
      <c r="W373" s="82" t="s">
        <v>1787</v>
      </c>
      <c r="X373" s="80" t="str">
        <f>HYPERLINK("https://bit.ly/3ToF7yX")</f>
        <v>https://bit.ly/3ToF7yX</v>
      </c>
      <c r="Y373" s="77" t="s">
        <v>2132</v>
      </c>
      <c r="Z373" s="77"/>
      <c r="AA373" s="77"/>
      <c r="AB373" s="77"/>
      <c r="AC373" s="82" t="s">
        <v>2719</v>
      </c>
      <c r="AD373" s="77" t="s">
        <v>2753</v>
      </c>
      <c r="AE373" s="80" t="str">
        <f>HYPERLINK("https://twitter.com/roseperiodista/status/1643091173416792067")</f>
        <v>https://twitter.com/roseperiodista/status/1643091173416792067</v>
      </c>
      <c r="AF373" s="79">
        <v>45020.139317129629</v>
      </c>
      <c r="AG373" s="85">
        <v>45020</v>
      </c>
      <c r="AH373" s="82" t="s">
        <v>3129</v>
      </c>
      <c r="AI373" s="77" t="b">
        <v>0</v>
      </c>
      <c r="AJ373" s="77" t="s">
        <v>3742</v>
      </c>
      <c r="AK373" s="77" t="s">
        <v>3752</v>
      </c>
      <c r="AL373" s="77" t="s">
        <v>3755</v>
      </c>
      <c r="AM373" s="77" t="s">
        <v>3763</v>
      </c>
      <c r="AN373" s="77" t="s">
        <v>3782</v>
      </c>
      <c r="AO373" s="77" t="s">
        <v>3797</v>
      </c>
      <c r="AP373" s="77" t="s">
        <v>3808</v>
      </c>
      <c r="AQ373" s="77"/>
      <c r="AR373" s="77"/>
      <c r="AS373" s="77"/>
      <c r="AT373" s="77"/>
      <c r="AU373" s="77"/>
      <c r="AV373" s="80" t="str">
        <f>HYPERLINK("https://pbs.twimg.com/profile_images/1624633729/20_Septiembre_2011_012_normal.jpg")</f>
        <v>https://pbs.twimg.com/profile_images/1624633729/20_Septiembre_2011_012_normal.jpg</v>
      </c>
      <c r="AW373" s="82" t="s">
        <v>4707</v>
      </c>
      <c r="AX373" s="82" t="s">
        <v>4707</v>
      </c>
      <c r="AY373" s="77"/>
      <c r="AZ373" s="82" t="s">
        <v>5615</v>
      </c>
      <c r="BA373" s="82" t="s">
        <v>5615</v>
      </c>
      <c r="BB373" s="82" t="s">
        <v>5615</v>
      </c>
      <c r="BC373" s="82" t="s">
        <v>4707</v>
      </c>
      <c r="BD373" s="77">
        <v>255663142</v>
      </c>
      <c r="BE373" s="77"/>
      <c r="BF373" s="77"/>
      <c r="BG373" s="77"/>
      <c r="BH373" s="77"/>
      <c r="BI373" s="77"/>
    </row>
    <row r="374" spans="1:61" x14ac:dyDescent="0.25">
      <c r="A374" s="62" t="s">
        <v>392</v>
      </c>
      <c r="B374" s="62" t="s">
        <v>392</v>
      </c>
      <c r="C374" s="63"/>
      <c r="D374" s="64"/>
      <c r="E374" s="65"/>
      <c r="F374" s="66"/>
      <c r="G374" s="63"/>
      <c r="H374" s="67"/>
      <c r="I374" s="68"/>
      <c r="J374" s="68"/>
      <c r="K374" s="32"/>
      <c r="L374" s="75">
        <v>374</v>
      </c>
      <c r="M374" s="75"/>
      <c r="N374" s="70"/>
      <c r="O374" s="77" t="s">
        <v>179</v>
      </c>
      <c r="P374" s="79">
        <v>45041.04042824074</v>
      </c>
      <c r="Q374" s="77" t="s">
        <v>956</v>
      </c>
      <c r="R374" s="77">
        <v>0</v>
      </c>
      <c r="S374" s="77">
        <v>0</v>
      </c>
      <c r="T374" s="77">
        <v>0</v>
      </c>
      <c r="U374" s="77">
        <v>0</v>
      </c>
      <c r="V374" s="77">
        <v>4</v>
      </c>
      <c r="W374" s="82" t="s">
        <v>1788</v>
      </c>
      <c r="X374" s="80" t="str">
        <f>HYPERLINK("https://www.instagram.com/reel/CqOKTPFjbnR/?igshid=YTgzYjQ4ZTY=")</f>
        <v>https://www.instagram.com/reel/CqOKTPFjbnR/?igshid=YTgzYjQ4ZTY=</v>
      </c>
      <c r="Y374" s="77" t="s">
        <v>2130</v>
      </c>
      <c r="Z374" s="77"/>
      <c r="AA374" s="77"/>
      <c r="AB374" s="77"/>
      <c r="AC374" s="82" t="s">
        <v>2719</v>
      </c>
      <c r="AD374" s="77" t="s">
        <v>2753</v>
      </c>
      <c r="AE374" s="80" t="str">
        <f>HYPERLINK("https://twitter.com/roseperiodista/status/1650665480267390976")</f>
        <v>https://twitter.com/roseperiodista/status/1650665480267390976</v>
      </c>
      <c r="AF374" s="79">
        <v>45041.04042824074</v>
      </c>
      <c r="AG374" s="85">
        <v>45041</v>
      </c>
      <c r="AH374" s="82" t="s">
        <v>3130</v>
      </c>
      <c r="AI374" s="77" t="b">
        <v>0</v>
      </c>
      <c r="AJ374" s="77" t="s">
        <v>3742</v>
      </c>
      <c r="AK374" s="77" t="s">
        <v>3752</v>
      </c>
      <c r="AL374" s="77" t="s">
        <v>3755</v>
      </c>
      <c r="AM374" s="77" t="s">
        <v>3763</v>
      </c>
      <c r="AN374" s="77" t="s">
        <v>3782</v>
      </c>
      <c r="AO374" s="77" t="s">
        <v>3797</v>
      </c>
      <c r="AP374" s="77" t="s">
        <v>3808</v>
      </c>
      <c r="AQ374" s="77"/>
      <c r="AR374" s="77"/>
      <c r="AS374" s="77"/>
      <c r="AT374" s="77"/>
      <c r="AU374" s="77"/>
      <c r="AV374" s="80" t="str">
        <f>HYPERLINK("https://pbs.twimg.com/profile_images/1624633729/20_Septiembre_2011_012_normal.jpg")</f>
        <v>https://pbs.twimg.com/profile_images/1624633729/20_Septiembre_2011_012_normal.jpg</v>
      </c>
      <c r="AW374" s="82" t="s">
        <v>4708</v>
      </c>
      <c r="AX374" s="82" t="s">
        <v>4708</v>
      </c>
      <c r="AY374" s="77"/>
      <c r="AZ374" s="82" t="s">
        <v>5615</v>
      </c>
      <c r="BA374" s="82" t="s">
        <v>5615</v>
      </c>
      <c r="BB374" s="82" t="s">
        <v>5615</v>
      </c>
      <c r="BC374" s="82" t="s">
        <v>4708</v>
      </c>
      <c r="BD374" s="77">
        <v>255663142</v>
      </c>
      <c r="BE374" s="77"/>
      <c r="BF374" s="77"/>
      <c r="BG374" s="77"/>
      <c r="BH374" s="77"/>
      <c r="BI374" s="77"/>
    </row>
    <row r="375" spans="1:61" x14ac:dyDescent="0.25">
      <c r="A375" s="62" t="s">
        <v>393</v>
      </c>
      <c r="B375" s="62" t="s">
        <v>393</v>
      </c>
      <c r="C375" s="63"/>
      <c r="D375" s="64"/>
      <c r="E375" s="65"/>
      <c r="F375" s="66"/>
      <c r="G375" s="63"/>
      <c r="H375" s="67"/>
      <c r="I375" s="68"/>
      <c r="J375" s="68"/>
      <c r="K375" s="32"/>
      <c r="L375" s="75">
        <v>375</v>
      </c>
      <c r="M375" s="75"/>
      <c r="N375" s="70"/>
      <c r="O375" s="77" t="s">
        <v>179</v>
      </c>
      <c r="P375" s="79">
        <v>44988.495266203703</v>
      </c>
      <c r="Q375" s="77" t="s">
        <v>957</v>
      </c>
      <c r="R375" s="77">
        <v>0</v>
      </c>
      <c r="S375" s="77">
        <v>0</v>
      </c>
      <c r="T375" s="77">
        <v>0</v>
      </c>
      <c r="U375" s="77">
        <v>0</v>
      </c>
      <c r="V375" s="77">
        <v>4</v>
      </c>
      <c r="W375" s="82" t="s">
        <v>1789</v>
      </c>
      <c r="X375" s="80" t="str">
        <f>HYPERLINK("https://ciowomenmagazine.com/financial-mistakes-that-will-cost/")</f>
        <v>https://ciowomenmagazine.com/financial-mistakes-that-will-cost/</v>
      </c>
      <c r="Y375" s="77" t="s">
        <v>2160</v>
      </c>
      <c r="Z375" s="77"/>
      <c r="AA375" s="77" t="s">
        <v>2468</v>
      </c>
      <c r="AB375" s="77" t="s">
        <v>2714</v>
      </c>
      <c r="AC375" s="82" t="s">
        <v>2722</v>
      </c>
      <c r="AD375" s="77" t="s">
        <v>2754</v>
      </c>
      <c r="AE375" s="80" t="str">
        <f>HYPERLINK("https://twitter.com/ciowomenmag/status/1631623753661837313")</f>
        <v>https://twitter.com/ciowomenmag/status/1631623753661837313</v>
      </c>
      <c r="AF375" s="79">
        <v>44988.495266203703</v>
      </c>
      <c r="AG375" s="85">
        <v>44988</v>
      </c>
      <c r="AH375" s="82" t="s">
        <v>3131</v>
      </c>
      <c r="AI375" s="77" t="b">
        <v>0</v>
      </c>
      <c r="AJ375" s="77"/>
      <c r="AK375" s="77"/>
      <c r="AL375" s="77"/>
      <c r="AM375" s="77"/>
      <c r="AN375" s="77"/>
      <c r="AO375" s="77"/>
      <c r="AP375" s="77"/>
      <c r="AQ375" s="77" t="s">
        <v>4094</v>
      </c>
      <c r="AR375" s="77"/>
      <c r="AS375" s="77"/>
      <c r="AT375" s="77"/>
      <c r="AU375" s="77"/>
      <c r="AV375" s="80" t="str">
        <f>HYPERLINK("https://pbs.twimg.com/media/FqSxJmnaYAAlcau.jpg")</f>
        <v>https://pbs.twimg.com/media/FqSxJmnaYAAlcau.jpg</v>
      </c>
      <c r="AW375" s="82" t="s">
        <v>4709</v>
      </c>
      <c r="AX375" s="82" t="s">
        <v>4709</v>
      </c>
      <c r="AY375" s="77"/>
      <c r="AZ375" s="82" t="s">
        <v>5615</v>
      </c>
      <c r="BA375" s="82" t="s">
        <v>5615</v>
      </c>
      <c r="BB375" s="82" t="s">
        <v>5615</v>
      </c>
      <c r="BC375" s="82" t="s">
        <v>4709</v>
      </c>
      <c r="BD375" s="82" t="s">
        <v>5977</v>
      </c>
      <c r="BE375" s="77"/>
      <c r="BF375" s="77"/>
      <c r="BG375" s="77"/>
      <c r="BH375" s="77"/>
      <c r="BI375" s="77"/>
    </row>
    <row r="376" spans="1:61" x14ac:dyDescent="0.25">
      <c r="A376" s="62" t="s">
        <v>394</v>
      </c>
      <c r="B376" s="62" t="s">
        <v>394</v>
      </c>
      <c r="C376" s="63"/>
      <c r="D376" s="64"/>
      <c r="E376" s="65"/>
      <c r="F376" s="66"/>
      <c r="G376" s="63"/>
      <c r="H376" s="67"/>
      <c r="I376" s="68"/>
      <c r="J376" s="68"/>
      <c r="K376" s="32"/>
      <c r="L376" s="75">
        <v>376</v>
      </c>
      <c r="M376" s="75"/>
      <c r="N376" s="70"/>
      <c r="O376" s="77" t="s">
        <v>179</v>
      </c>
      <c r="P376" s="79">
        <v>45180.490104166667</v>
      </c>
      <c r="Q376" s="77" t="s">
        <v>958</v>
      </c>
      <c r="R376" s="77">
        <v>0</v>
      </c>
      <c r="S376" s="77">
        <v>0</v>
      </c>
      <c r="T376" s="77">
        <v>0</v>
      </c>
      <c r="U376" s="77">
        <v>0</v>
      </c>
      <c r="V376" s="77">
        <v>2</v>
      </c>
      <c r="W376" s="82" t="s">
        <v>1790</v>
      </c>
      <c r="X376" s="77"/>
      <c r="Y376" s="77"/>
      <c r="Z376" s="77"/>
      <c r="AA376" s="77" t="s">
        <v>2469</v>
      </c>
      <c r="AB376" s="77" t="s">
        <v>2713</v>
      </c>
      <c r="AC376" s="82" t="s">
        <v>2719</v>
      </c>
      <c r="AD376" s="77" t="s">
        <v>2752</v>
      </c>
      <c r="AE376" s="80" t="str">
        <f>HYPERLINK("https://twitter.com/organico27643/status/1701200350676414555")</f>
        <v>https://twitter.com/organico27643/status/1701200350676414555</v>
      </c>
      <c r="AF376" s="79">
        <v>45180.490104166667</v>
      </c>
      <c r="AG376" s="85">
        <v>45180</v>
      </c>
      <c r="AH376" s="82" t="s">
        <v>3132</v>
      </c>
      <c r="AI376" s="77" t="b">
        <v>0</v>
      </c>
      <c r="AJ376" s="77"/>
      <c r="AK376" s="77"/>
      <c r="AL376" s="77"/>
      <c r="AM376" s="77"/>
      <c r="AN376" s="77"/>
      <c r="AO376" s="77"/>
      <c r="AP376" s="77"/>
      <c r="AQ376" s="77" t="s">
        <v>4095</v>
      </c>
      <c r="AR376" s="77">
        <v>10100</v>
      </c>
      <c r="AS376" s="77"/>
      <c r="AT376" s="77"/>
      <c r="AU376" s="77"/>
      <c r="AV376" s="80" t="str">
        <f>HYPERLINK("https://pbs.twimg.com/ext_tw_video_thumb/1701200319529574401/pu/img/JDsNiV5Aghc8e9XD.jpg")</f>
        <v>https://pbs.twimg.com/ext_tw_video_thumb/1701200319529574401/pu/img/JDsNiV5Aghc8e9XD.jpg</v>
      </c>
      <c r="AW376" s="82" t="s">
        <v>4710</v>
      </c>
      <c r="AX376" s="82" t="s">
        <v>4710</v>
      </c>
      <c r="AY376" s="77"/>
      <c r="AZ376" s="82" t="s">
        <v>5615</v>
      </c>
      <c r="BA376" s="82" t="s">
        <v>5615</v>
      </c>
      <c r="BB376" s="82" t="s">
        <v>5615</v>
      </c>
      <c r="BC376" s="82" t="s">
        <v>4710</v>
      </c>
      <c r="BD376" s="82" t="s">
        <v>5978</v>
      </c>
      <c r="BE376" s="77"/>
      <c r="BF376" s="77"/>
      <c r="BG376" s="77"/>
      <c r="BH376" s="77"/>
      <c r="BI376" s="77"/>
    </row>
    <row r="377" spans="1:61" x14ac:dyDescent="0.25">
      <c r="A377" s="62" t="s">
        <v>395</v>
      </c>
      <c r="B377" s="62" t="s">
        <v>395</v>
      </c>
      <c r="C377" s="63"/>
      <c r="D377" s="64"/>
      <c r="E377" s="65"/>
      <c r="F377" s="66"/>
      <c r="G377" s="63"/>
      <c r="H377" s="67"/>
      <c r="I377" s="68"/>
      <c r="J377" s="68"/>
      <c r="K377" s="32"/>
      <c r="L377" s="75">
        <v>377</v>
      </c>
      <c r="M377" s="75"/>
      <c r="N377" s="70"/>
      <c r="O377" s="77" t="s">
        <v>179</v>
      </c>
      <c r="P377" s="79">
        <v>44969.42769675926</v>
      </c>
      <c r="Q377" s="77" t="s">
        <v>959</v>
      </c>
      <c r="R377" s="77">
        <v>0</v>
      </c>
      <c r="S377" s="77">
        <v>1</v>
      </c>
      <c r="T377" s="77">
        <v>0</v>
      </c>
      <c r="U377" s="77">
        <v>0</v>
      </c>
      <c r="V377" s="77">
        <v>28</v>
      </c>
      <c r="W377" s="82" t="s">
        <v>1791</v>
      </c>
      <c r="X377" s="80" t="str">
        <f>HYPERLINK("https://youtu.be/ogqLbVA_GRE")</f>
        <v>https://youtu.be/ogqLbVA_GRE</v>
      </c>
      <c r="Y377" s="77" t="s">
        <v>2153</v>
      </c>
      <c r="Z377" s="77"/>
      <c r="AA377" s="77"/>
      <c r="AB377" s="77"/>
      <c r="AC377" s="82" t="s">
        <v>2720</v>
      </c>
      <c r="AD377" s="77" t="s">
        <v>2752</v>
      </c>
      <c r="AE377" s="80" t="str">
        <f>HYPERLINK("https://twitter.com/itaboraisantos/status/1624713895741992964")</f>
        <v>https://twitter.com/itaboraisantos/status/1624713895741992964</v>
      </c>
      <c r="AF377" s="79">
        <v>44969.42769675926</v>
      </c>
      <c r="AG377" s="85">
        <v>44969</v>
      </c>
      <c r="AH377" s="82" t="s">
        <v>3133</v>
      </c>
      <c r="AI377" s="77" t="b">
        <v>0</v>
      </c>
      <c r="AJ377" s="77"/>
      <c r="AK377" s="77"/>
      <c r="AL377" s="77"/>
      <c r="AM377" s="77"/>
      <c r="AN377" s="77"/>
      <c r="AO377" s="77"/>
      <c r="AP377" s="77"/>
      <c r="AQ377" s="77"/>
      <c r="AR377" s="77"/>
      <c r="AS377" s="77"/>
      <c r="AT377" s="77"/>
      <c r="AU377" s="77"/>
      <c r="AV377" s="80" t="str">
        <f>HYPERLINK("https://pbs.twimg.com/profile_images/2226889686/Ita_Discursando_Bovespa_normal.JPG")</f>
        <v>https://pbs.twimg.com/profile_images/2226889686/Ita_Discursando_Bovespa_normal.JPG</v>
      </c>
      <c r="AW377" s="82" t="s">
        <v>4711</v>
      </c>
      <c r="AX377" s="82" t="s">
        <v>4711</v>
      </c>
      <c r="AY377" s="77"/>
      <c r="AZ377" s="82" t="s">
        <v>5615</v>
      </c>
      <c r="BA377" s="82" t="s">
        <v>5615</v>
      </c>
      <c r="BB377" s="82" t="s">
        <v>5615</v>
      </c>
      <c r="BC377" s="82" t="s">
        <v>4711</v>
      </c>
      <c r="BD377" s="77">
        <v>583023355</v>
      </c>
      <c r="BE377" s="77"/>
      <c r="BF377" s="77"/>
      <c r="BG377" s="77"/>
      <c r="BH377" s="77"/>
      <c r="BI377" s="77"/>
    </row>
    <row r="378" spans="1:61" x14ac:dyDescent="0.25">
      <c r="A378" s="62" t="s">
        <v>395</v>
      </c>
      <c r="B378" s="62" t="s">
        <v>395</v>
      </c>
      <c r="C378" s="63"/>
      <c r="D378" s="64"/>
      <c r="E378" s="65"/>
      <c r="F378" s="66"/>
      <c r="G378" s="63"/>
      <c r="H378" s="67"/>
      <c r="I378" s="68"/>
      <c r="J378" s="68"/>
      <c r="K378" s="32"/>
      <c r="L378" s="75">
        <v>378</v>
      </c>
      <c r="M378" s="75"/>
      <c r="N378" s="70"/>
      <c r="O378" s="77" t="s">
        <v>179</v>
      </c>
      <c r="P378" s="79">
        <v>45117.979884259257</v>
      </c>
      <c r="Q378" s="77" t="s">
        <v>960</v>
      </c>
      <c r="R378" s="77">
        <v>0</v>
      </c>
      <c r="S378" s="77">
        <v>0</v>
      </c>
      <c r="T378" s="77">
        <v>0</v>
      </c>
      <c r="U378" s="77">
        <v>0</v>
      </c>
      <c r="V378" s="77">
        <v>108</v>
      </c>
      <c r="W378" s="82" t="s">
        <v>1792</v>
      </c>
      <c r="X378" s="80" t="str">
        <f>HYPERLINK("http://bit.ly/3qU4TRb")</f>
        <v>http://bit.ly/3qU4TRb</v>
      </c>
      <c r="Y378" s="77" t="s">
        <v>2132</v>
      </c>
      <c r="Z378" s="77"/>
      <c r="AA378" s="77" t="s">
        <v>2470</v>
      </c>
      <c r="AB378" s="77" t="s">
        <v>2713</v>
      </c>
      <c r="AC378" s="82" t="s">
        <v>2720</v>
      </c>
      <c r="AD378" s="77" t="s">
        <v>2754</v>
      </c>
      <c r="AE378" s="80" t="str">
        <f>HYPERLINK("https://twitter.com/itaboraisantos/status/1678547409490571265")</f>
        <v>https://twitter.com/itaboraisantos/status/1678547409490571265</v>
      </c>
      <c r="AF378" s="79">
        <v>45117.979884259257</v>
      </c>
      <c r="AG378" s="85">
        <v>45117</v>
      </c>
      <c r="AH378" s="82" t="s">
        <v>3134</v>
      </c>
      <c r="AI378" s="77" t="b">
        <v>0</v>
      </c>
      <c r="AJ378" s="77"/>
      <c r="AK378" s="77"/>
      <c r="AL378" s="77"/>
      <c r="AM378" s="77"/>
      <c r="AN378" s="77"/>
      <c r="AO378" s="77"/>
      <c r="AP378" s="77"/>
      <c r="AQ378" s="77" t="s">
        <v>4096</v>
      </c>
      <c r="AR378" s="77">
        <v>31433</v>
      </c>
      <c r="AS378" s="77"/>
      <c r="AT378" s="77"/>
      <c r="AU378" s="77"/>
      <c r="AV378" s="80" t="str">
        <f>HYPERLINK("https://pbs.twimg.com/ext_tw_video_thumb/1678547284785602563/pu/img/bD1tfJidCNdtZBjb.jpg")</f>
        <v>https://pbs.twimg.com/ext_tw_video_thumb/1678547284785602563/pu/img/bD1tfJidCNdtZBjb.jpg</v>
      </c>
      <c r="AW378" s="82" t="s">
        <v>4712</v>
      </c>
      <c r="AX378" s="82" t="s">
        <v>4712</v>
      </c>
      <c r="AY378" s="77"/>
      <c r="AZ378" s="82" t="s">
        <v>5615</v>
      </c>
      <c r="BA378" s="82" t="s">
        <v>5615</v>
      </c>
      <c r="BB378" s="82" t="s">
        <v>5615</v>
      </c>
      <c r="BC378" s="82" t="s">
        <v>4712</v>
      </c>
      <c r="BD378" s="77">
        <v>583023355</v>
      </c>
      <c r="BE378" s="77"/>
      <c r="BF378" s="77"/>
      <c r="BG378" s="77"/>
      <c r="BH378" s="77"/>
      <c r="BI378" s="77"/>
    </row>
    <row r="379" spans="1:61" x14ac:dyDescent="0.25">
      <c r="A379" s="62" t="s">
        <v>396</v>
      </c>
      <c r="B379" s="62" t="s">
        <v>396</v>
      </c>
      <c r="C379" s="63"/>
      <c r="D379" s="64"/>
      <c r="E379" s="65"/>
      <c r="F379" s="66"/>
      <c r="G379" s="63"/>
      <c r="H379" s="67"/>
      <c r="I379" s="68"/>
      <c r="J379" s="68"/>
      <c r="K379" s="32"/>
      <c r="L379" s="75">
        <v>379</v>
      </c>
      <c r="M379" s="75"/>
      <c r="N379" s="70"/>
      <c r="O379" s="77" t="s">
        <v>179</v>
      </c>
      <c r="P379" s="79">
        <v>45001.861875000002</v>
      </c>
      <c r="Q379" s="77" t="s">
        <v>961</v>
      </c>
      <c r="R379" s="77">
        <v>0</v>
      </c>
      <c r="S379" s="77">
        <v>0</v>
      </c>
      <c r="T379" s="77">
        <v>1</v>
      </c>
      <c r="U379" s="77">
        <v>0</v>
      </c>
      <c r="V379" s="77">
        <v>21</v>
      </c>
      <c r="W379" s="82" t="s">
        <v>1793</v>
      </c>
      <c r="X379" s="77"/>
      <c r="Y379" s="77"/>
      <c r="Z379" s="77"/>
      <c r="AA379" s="77" t="s">
        <v>2471</v>
      </c>
      <c r="AB379" s="77" t="s">
        <v>2717</v>
      </c>
      <c r="AC379" s="82" t="s">
        <v>2737</v>
      </c>
      <c r="AD379" s="77" t="s">
        <v>2752</v>
      </c>
      <c r="AE379" s="80" t="str">
        <f>HYPERLINK("https://twitter.com/blackhatpt/status/1636467649235263509")</f>
        <v>https://twitter.com/blackhatpt/status/1636467649235263509</v>
      </c>
      <c r="AF379" s="79">
        <v>45001.861875000002</v>
      </c>
      <c r="AG379" s="85">
        <v>45001</v>
      </c>
      <c r="AH379" s="82" t="s">
        <v>3135</v>
      </c>
      <c r="AI379" s="77" t="b">
        <v>0</v>
      </c>
      <c r="AJ379" s="77"/>
      <c r="AK379" s="77"/>
      <c r="AL379" s="77"/>
      <c r="AM379" s="77"/>
      <c r="AN379" s="77"/>
      <c r="AO379" s="77"/>
      <c r="AP379" s="77"/>
      <c r="AQ379" s="77" t="s">
        <v>4097</v>
      </c>
      <c r="AR379" s="77"/>
      <c r="AS379" s="77"/>
      <c r="AT379" s="77"/>
      <c r="AU379" s="77"/>
      <c r="AV379" s="80" t="str">
        <f>HYPERLINK("https://pbs.twimg.com/tweet_video_thumb/FrXmpsWWIAg0dwU.jpg")</f>
        <v>https://pbs.twimg.com/tweet_video_thumb/FrXmpsWWIAg0dwU.jpg</v>
      </c>
      <c r="AW379" s="82" t="s">
        <v>4713</v>
      </c>
      <c r="AX379" s="82" t="s">
        <v>4713</v>
      </c>
      <c r="AY379" s="77"/>
      <c r="AZ379" s="82" t="s">
        <v>5615</v>
      </c>
      <c r="BA379" s="82" t="s">
        <v>5615</v>
      </c>
      <c r="BB379" s="82" t="s">
        <v>5615</v>
      </c>
      <c r="BC379" s="82" t="s">
        <v>4713</v>
      </c>
      <c r="BD379" s="82" t="s">
        <v>5593</v>
      </c>
      <c r="BE379" s="77"/>
      <c r="BF379" s="77"/>
      <c r="BG379" s="77"/>
      <c r="BH379" s="77"/>
      <c r="BI379" s="77"/>
    </row>
    <row r="380" spans="1:61" x14ac:dyDescent="0.25">
      <c r="A380" s="62" t="s">
        <v>396</v>
      </c>
      <c r="B380" s="62" t="s">
        <v>396</v>
      </c>
      <c r="C380" s="63"/>
      <c r="D380" s="64"/>
      <c r="E380" s="65"/>
      <c r="F380" s="66"/>
      <c r="G380" s="63"/>
      <c r="H380" s="67"/>
      <c r="I380" s="68"/>
      <c r="J380" s="68"/>
      <c r="K380" s="32"/>
      <c r="L380" s="75">
        <v>380</v>
      </c>
      <c r="M380" s="75"/>
      <c r="N380" s="70"/>
      <c r="O380" s="77" t="s">
        <v>583</v>
      </c>
      <c r="P380" s="79">
        <v>45001.732812499999</v>
      </c>
      <c r="Q380" s="77" t="s">
        <v>962</v>
      </c>
      <c r="R380" s="77">
        <v>0</v>
      </c>
      <c r="S380" s="77">
        <v>0</v>
      </c>
      <c r="T380" s="77">
        <v>0</v>
      </c>
      <c r="U380" s="77">
        <v>0</v>
      </c>
      <c r="V380" s="77">
        <v>16</v>
      </c>
      <c r="W380" s="82" t="s">
        <v>1793</v>
      </c>
      <c r="X380" s="77"/>
      <c r="Y380" s="77"/>
      <c r="Z380" s="77"/>
      <c r="AA380" s="77" t="s">
        <v>2472</v>
      </c>
      <c r="AB380" s="77" t="s">
        <v>2717</v>
      </c>
      <c r="AC380" s="82" t="s">
        <v>2737</v>
      </c>
      <c r="AD380" s="77" t="s">
        <v>2752</v>
      </c>
      <c r="AE380" s="80" t="str">
        <f>HYPERLINK("https://twitter.com/blackhatpt/status/1636420877200896006")</f>
        <v>https://twitter.com/blackhatpt/status/1636420877200896006</v>
      </c>
      <c r="AF380" s="79">
        <v>45001.732812499999</v>
      </c>
      <c r="AG380" s="85">
        <v>45001</v>
      </c>
      <c r="AH380" s="82" t="s">
        <v>3136</v>
      </c>
      <c r="AI380" s="77" t="b">
        <v>0</v>
      </c>
      <c r="AJ380" s="77"/>
      <c r="AK380" s="77"/>
      <c r="AL380" s="77"/>
      <c r="AM380" s="77"/>
      <c r="AN380" s="77"/>
      <c r="AO380" s="77"/>
      <c r="AP380" s="77"/>
      <c r="AQ380" s="77" t="s">
        <v>4098</v>
      </c>
      <c r="AR380" s="77"/>
      <c r="AS380" s="77"/>
      <c r="AT380" s="77"/>
      <c r="AU380" s="77"/>
      <c r="AV380" s="80" t="str">
        <f>HYPERLINK("https://pbs.twimg.com/tweet_video_thumb/FrW8FsRWwAoewDG.jpg")</f>
        <v>https://pbs.twimg.com/tweet_video_thumb/FrW8FsRWwAoewDG.jpg</v>
      </c>
      <c r="AW380" s="82" t="s">
        <v>4714</v>
      </c>
      <c r="AX380" s="82" t="s">
        <v>4720</v>
      </c>
      <c r="AY380" s="82" t="s">
        <v>5593</v>
      </c>
      <c r="AZ380" s="82" t="s">
        <v>5624</v>
      </c>
      <c r="BA380" s="82" t="s">
        <v>5615</v>
      </c>
      <c r="BB380" s="82" t="s">
        <v>5615</v>
      </c>
      <c r="BC380" s="82" t="s">
        <v>5624</v>
      </c>
      <c r="BD380" s="82" t="s">
        <v>5593</v>
      </c>
      <c r="BE380" s="77"/>
      <c r="BF380" s="77"/>
      <c r="BG380" s="77"/>
      <c r="BH380" s="77"/>
      <c r="BI380" s="77"/>
    </row>
    <row r="381" spans="1:61" x14ac:dyDescent="0.25">
      <c r="A381" s="62" t="s">
        <v>396</v>
      </c>
      <c r="B381" s="62" t="s">
        <v>396</v>
      </c>
      <c r="C381" s="63"/>
      <c r="D381" s="64"/>
      <c r="E381" s="65"/>
      <c r="F381" s="66"/>
      <c r="G381" s="63"/>
      <c r="H381" s="67"/>
      <c r="I381" s="68"/>
      <c r="J381" s="68"/>
      <c r="K381" s="32"/>
      <c r="L381" s="75">
        <v>381</v>
      </c>
      <c r="M381" s="75"/>
      <c r="N381" s="70"/>
      <c r="O381" s="77" t="s">
        <v>583</v>
      </c>
      <c r="P381" s="79">
        <v>45001.732800925929</v>
      </c>
      <c r="Q381" s="77" t="s">
        <v>963</v>
      </c>
      <c r="R381" s="77">
        <v>0</v>
      </c>
      <c r="S381" s="77">
        <v>0</v>
      </c>
      <c r="T381" s="77">
        <v>1</v>
      </c>
      <c r="U381" s="77">
        <v>0</v>
      </c>
      <c r="V381" s="77">
        <v>6</v>
      </c>
      <c r="W381" s="82" t="s">
        <v>1793</v>
      </c>
      <c r="X381" s="77"/>
      <c r="Y381" s="77"/>
      <c r="Z381" s="77"/>
      <c r="AA381" s="77"/>
      <c r="AB381" s="77"/>
      <c r="AC381" s="82" t="s">
        <v>2737</v>
      </c>
      <c r="AD381" s="77" t="s">
        <v>2752</v>
      </c>
      <c r="AE381" s="80" t="str">
        <f>HYPERLINK("https://twitter.com/blackhatpt/status/1636420874319347725")</f>
        <v>https://twitter.com/blackhatpt/status/1636420874319347725</v>
      </c>
      <c r="AF381" s="79">
        <v>45001.732800925929</v>
      </c>
      <c r="AG381" s="85">
        <v>45001</v>
      </c>
      <c r="AH381" s="82" t="s">
        <v>3137</v>
      </c>
      <c r="AI381" s="77"/>
      <c r="AJ381" s="77"/>
      <c r="AK381" s="77"/>
      <c r="AL381" s="77"/>
      <c r="AM381" s="77"/>
      <c r="AN381" s="77"/>
      <c r="AO381" s="77"/>
      <c r="AP381" s="77"/>
      <c r="AQ381" s="77"/>
      <c r="AR381" s="77"/>
      <c r="AS381" s="77"/>
      <c r="AT381" s="77"/>
      <c r="AU381" s="77"/>
      <c r="AV381" s="80" t="str">
        <f>HYPERLINK("https://pbs.twimg.com/profile_images/1578720730677657602/1Wdsv0wR_normal.jpg")</f>
        <v>https://pbs.twimg.com/profile_images/1578720730677657602/1Wdsv0wR_normal.jpg</v>
      </c>
      <c r="AW381" s="82" t="s">
        <v>4715</v>
      </c>
      <c r="AX381" s="82" t="s">
        <v>4720</v>
      </c>
      <c r="AY381" s="82" t="s">
        <v>5593</v>
      </c>
      <c r="AZ381" s="82" t="s">
        <v>5625</v>
      </c>
      <c r="BA381" s="82" t="s">
        <v>5615</v>
      </c>
      <c r="BB381" s="82" t="s">
        <v>5615</v>
      </c>
      <c r="BC381" s="82" t="s">
        <v>5625</v>
      </c>
      <c r="BD381" s="82" t="s">
        <v>5593</v>
      </c>
      <c r="BE381" s="77"/>
      <c r="BF381" s="77"/>
      <c r="BG381" s="77"/>
      <c r="BH381" s="77"/>
      <c r="BI381" s="77"/>
    </row>
    <row r="382" spans="1:61" x14ac:dyDescent="0.25">
      <c r="A382" s="62" t="s">
        <v>396</v>
      </c>
      <c r="B382" s="62" t="s">
        <v>396</v>
      </c>
      <c r="C382" s="63"/>
      <c r="D382" s="64"/>
      <c r="E382" s="65"/>
      <c r="F382" s="66"/>
      <c r="G382" s="63"/>
      <c r="H382" s="67"/>
      <c r="I382" s="68"/>
      <c r="J382" s="68"/>
      <c r="K382" s="32"/>
      <c r="L382" s="75">
        <v>382</v>
      </c>
      <c r="M382" s="75"/>
      <c r="N382" s="70"/>
      <c r="O382" s="77" t="s">
        <v>583</v>
      </c>
      <c r="P382" s="79">
        <v>45001.732789351852</v>
      </c>
      <c r="Q382" s="77" t="s">
        <v>964</v>
      </c>
      <c r="R382" s="77">
        <v>0</v>
      </c>
      <c r="S382" s="77">
        <v>0</v>
      </c>
      <c r="T382" s="77">
        <v>1</v>
      </c>
      <c r="U382" s="77">
        <v>0</v>
      </c>
      <c r="V382" s="77">
        <v>6</v>
      </c>
      <c r="W382" s="82" t="s">
        <v>1793</v>
      </c>
      <c r="X382" s="77"/>
      <c r="Y382" s="77"/>
      <c r="Z382" s="77"/>
      <c r="AA382" s="77"/>
      <c r="AB382" s="77"/>
      <c r="AC382" s="82" t="s">
        <v>2737</v>
      </c>
      <c r="AD382" s="77" t="s">
        <v>2752</v>
      </c>
      <c r="AE382" s="80" t="str">
        <f>HYPERLINK("https://twitter.com/blackhatpt/status/1636420871135870993")</f>
        <v>https://twitter.com/blackhatpt/status/1636420871135870993</v>
      </c>
      <c r="AF382" s="79">
        <v>45001.732789351852</v>
      </c>
      <c r="AG382" s="85">
        <v>45001</v>
      </c>
      <c r="AH382" s="82" t="s">
        <v>3138</v>
      </c>
      <c r="AI382" s="77"/>
      <c r="AJ382" s="77"/>
      <c r="AK382" s="77"/>
      <c r="AL382" s="77"/>
      <c r="AM382" s="77"/>
      <c r="AN382" s="77"/>
      <c r="AO382" s="77"/>
      <c r="AP382" s="77"/>
      <c r="AQ382" s="77"/>
      <c r="AR382" s="77"/>
      <c r="AS382" s="77"/>
      <c r="AT382" s="77"/>
      <c r="AU382" s="77"/>
      <c r="AV382" s="80" t="str">
        <f>HYPERLINK("https://pbs.twimg.com/profile_images/1578720730677657602/1Wdsv0wR_normal.jpg")</f>
        <v>https://pbs.twimg.com/profile_images/1578720730677657602/1Wdsv0wR_normal.jpg</v>
      </c>
      <c r="AW382" s="82" t="s">
        <v>4716</v>
      </c>
      <c r="AX382" s="82" t="s">
        <v>4720</v>
      </c>
      <c r="AY382" s="82" t="s">
        <v>5593</v>
      </c>
      <c r="AZ382" s="82" t="s">
        <v>5626</v>
      </c>
      <c r="BA382" s="82" t="s">
        <v>5615</v>
      </c>
      <c r="BB382" s="82" t="s">
        <v>5615</v>
      </c>
      <c r="BC382" s="82" t="s">
        <v>5626</v>
      </c>
      <c r="BD382" s="82" t="s">
        <v>5593</v>
      </c>
      <c r="BE382" s="77"/>
      <c r="BF382" s="77"/>
      <c r="BG382" s="77"/>
      <c r="BH382" s="77"/>
      <c r="BI382" s="77"/>
    </row>
    <row r="383" spans="1:61" x14ac:dyDescent="0.25">
      <c r="A383" s="62" t="s">
        <v>396</v>
      </c>
      <c r="B383" s="62" t="s">
        <v>396</v>
      </c>
      <c r="C383" s="63"/>
      <c r="D383" s="64"/>
      <c r="E383" s="65"/>
      <c r="F383" s="66"/>
      <c r="G383" s="63"/>
      <c r="H383" s="67"/>
      <c r="I383" s="68"/>
      <c r="J383" s="68"/>
      <c r="K383" s="32"/>
      <c r="L383" s="75">
        <v>383</v>
      </c>
      <c r="M383" s="75"/>
      <c r="N383" s="70"/>
      <c r="O383" s="77" t="s">
        <v>583</v>
      </c>
      <c r="P383" s="79">
        <v>45001.732777777775</v>
      </c>
      <c r="Q383" s="77" t="s">
        <v>965</v>
      </c>
      <c r="R383" s="77">
        <v>0</v>
      </c>
      <c r="S383" s="77">
        <v>0</v>
      </c>
      <c r="T383" s="77">
        <v>1</v>
      </c>
      <c r="U383" s="77">
        <v>0</v>
      </c>
      <c r="V383" s="77">
        <v>6</v>
      </c>
      <c r="W383" s="82" t="s">
        <v>1793</v>
      </c>
      <c r="X383" s="77"/>
      <c r="Y383" s="77"/>
      <c r="Z383" s="77"/>
      <c r="AA383" s="77"/>
      <c r="AB383" s="77"/>
      <c r="AC383" s="82" t="s">
        <v>2737</v>
      </c>
      <c r="AD383" s="77" t="s">
        <v>2752</v>
      </c>
      <c r="AE383" s="80" t="str">
        <f>HYPERLINK("https://twitter.com/blackhatpt/status/1636420868308910093")</f>
        <v>https://twitter.com/blackhatpt/status/1636420868308910093</v>
      </c>
      <c r="AF383" s="79">
        <v>45001.732777777775</v>
      </c>
      <c r="AG383" s="85">
        <v>45001</v>
      </c>
      <c r="AH383" s="82" t="s">
        <v>3139</v>
      </c>
      <c r="AI383" s="77"/>
      <c r="AJ383" s="77"/>
      <c r="AK383" s="77"/>
      <c r="AL383" s="77"/>
      <c r="AM383" s="77"/>
      <c r="AN383" s="77"/>
      <c r="AO383" s="77"/>
      <c r="AP383" s="77"/>
      <c r="AQ383" s="77"/>
      <c r="AR383" s="77"/>
      <c r="AS383" s="77"/>
      <c r="AT383" s="77"/>
      <c r="AU383" s="77"/>
      <c r="AV383" s="80" t="str">
        <f>HYPERLINK("https://pbs.twimg.com/profile_images/1578720730677657602/1Wdsv0wR_normal.jpg")</f>
        <v>https://pbs.twimg.com/profile_images/1578720730677657602/1Wdsv0wR_normal.jpg</v>
      </c>
      <c r="AW383" s="82" t="s">
        <v>4717</v>
      </c>
      <c r="AX383" s="82" t="s">
        <v>4720</v>
      </c>
      <c r="AY383" s="82" t="s">
        <v>5593</v>
      </c>
      <c r="AZ383" s="82" t="s">
        <v>5627</v>
      </c>
      <c r="BA383" s="82" t="s">
        <v>5615</v>
      </c>
      <c r="BB383" s="82" t="s">
        <v>5615</v>
      </c>
      <c r="BC383" s="82" t="s">
        <v>5627</v>
      </c>
      <c r="BD383" s="82" t="s">
        <v>5593</v>
      </c>
      <c r="BE383" s="77"/>
      <c r="BF383" s="77"/>
      <c r="BG383" s="77"/>
      <c r="BH383" s="77"/>
      <c r="BI383" s="77"/>
    </row>
    <row r="384" spans="1:61" x14ac:dyDescent="0.25">
      <c r="A384" s="62" t="s">
        <v>396</v>
      </c>
      <c r="B384" s="62" t="s">
        <v>396</v>
      </c>
      <c r="C384" s="63"/>
      <c r="D384" s="64"/>
      <c r="E384" s="65"/>
      <c r="F384" s="66"/>
      <c r="G384" s="63"/>
      <c r="H384" s="67"/>
      <c r="I384" s="68"/>
      <c r="J384" s="68"/>
      <c r="K384" s="32"/>
      <c r="L384" s="75">
        <v>384</v>
      </c>
      <c r="M384" s="75"/>
      <c r="N384" s="70"/>
      <c r="O384" s="77" t="s">
        <v>583</v>
      </c>
      <c r="P384" s="79">
        <v>45001.732777777775</v>
      </c>
      <c r="Q384" s="77" t="s">
        <v>966</v>
      </c>
      <c r="R384" s="77">
        <v>0</v>
      </c>
      <c r="S384" s="77">
        <v>0</v>
      </c>
      <c r="T384" s="77">
        <v>1</v>
      </c>
      <c r="U384" s="77">
        <v>0</v>
      </c>
      <c r="V384" s="77">
        <v>6</v>
      </c>
      <c r="W384" s="82" t="s">
        <v>1793</v>
      </c>
      <c r="X384" s="77"/>
      <c r="Y384" s="77"/>
      <c r="Z384" s="77"/>
      <c r="AA384" s="77"/>
      <c r="AB384" s="77"/>
      <c r="AC384" s="82" t="s">
        <v>2737</v>
      </c>
      <c r="AD384" s="77" t="s">
        <v>2752</v>
      </c>
      <c r="AE384" s="80" t="str">
        <f>HYPERLINK("https://twitter.com/blackhatpt/status/1636420865570029591")</f>
        <v>https://twitter.com/blackhatpt/status/1636420865570029591</v>
      </c>
      <c r="AF384" s="79">
        <v>45001.732777777775</v>
      </c>
      <c r="AG384" s="85">
        <v>45001</v>
      </c>
      <c r="AH384" s="82" t="s">
        <v>3139</v>
      </c>
      <c r="AI384" s="77"/>
      <c r="AJ384" s="77"/>
      <c r="AK384" s="77"/>
      <c r="AL384" s="77"/>
      <c r="AM384" s="77"/>
      <c r="AN384" s="77"/>
      <c r="AO384" s="77"/>
      <c r="AP384" s="77"/>
      <c r="AQ384" s="77"/>
      <c r="AR384" s="77"/>
      <c r="AS384" s="77"/>
      <c r="AT384" s="77"/>
      <c r="AU384" s="77"/>
      <c r="AV384" s="80" t="str">
        <f>HYPERLINK("https://pbs.twimg.com/profile_images/1578720730677657602/1Wdsv0wR_normal.jpg")</f>
        <v>https://pbs.twimg.com/profile_images/1578720730677657602/1Wdsv0wR_normal.jpg</v>
      </c>
      <c r="AW384" s="82" t="s">
        <v>4718</v>
      </c>
      <c r="AX384" s="82" t="s">
        <v>4720</v>
      </c>
      <c r="AY384" s="82" t="s">
        <v>5593</v>
      </c>
      <c r="AZ384" s="82" t="s">
        <v>5628</v>
      </c>
      <c r="BA384" s="82" t="s">
        <v>5615</v>
      </c>
      <c r="BB384" s="82" t="s">
        <v>5615</v>
      </c>
      <c r="BC384" s="82" t="s">
        <v>5628</v>
      </c>
      <c r="BD384" s="82" t="s">
        <v>5593</v>
      </c>
      <c r="BE384" s="77"/>
      <c r="BF384" s="77"/>
      <c r="BG384" s="77"/>
      <c r="BH384" s="77"/>
      <c r="BI384" s="77"/>
    </row>
    <row r="385" spans="1:61" x14ac:dyDescent="0.25">
      <c r="A385" s="62" t="s">
        <v>396</v>
      </c>
      <c r="B385" s="62" t="s">
        <v>396</v>
      </c>
      <c r="C385" s="63"/>
      <c r="D385" s="64"/>
      <c r="E385" s="65"/>
      <c r="F385" s="66"/>
      <c r="G385" s="63"/>
      <c r="H385" s="67"/>
      <c r="I385" s="68"/>
      <c r="J385" s="68"/>
      <c r="K385" s="32"/>
      <c r="L385" s="75">
        <v>385</v>
      </c>
      <c r="M385" s="75"/>
      <c r="N385" s="70"/>
      <c r="O385" s="77" t="s">
        <v>583</v>
      </c>
      <c r="P385" s="79">
        <v>45001.732766203706</v>
      </c>
      <c r="Q385" s="77" t="s">
        <v>967</v>
      </c>
      <c r="R385" s="77">
        <v>0</v>
      </c>
      <c r="S385" s="77">
        <v>0</v>
      </c>
      <c r="T385" s="77">
        <v>1</v>
      </c>
      <c r="U385" s="77">
        <v>0</v>
      </c>
      <c r="V385" s="77">
        <v>5</v>
      </c>
      <c r="W385" s="82" t="s">
        <v>1793</v>
      </c>
      <c r="X385" s="77"/>
      <c r="Y385" s="77"/>
      <c r="Z385" s="77"/>
      <c r="AA385" s="77"/>
      <c r="AB385" s="77"/>
      <c r="AC385" s="82" t="s">
        <v>2737</v>
      </c>
      <c r="AD385" s="77" t="s">
        <v>2752</v>
      </c>
      <c r="AE385" s="80" t="str">
        <f>HYPERLINK("https://twitter.com/blackhatpt/status/1636420862344609832")</f>
        <v>https://twitter.com/blackhatpt/status/1636420862344609832</v>
      </c>
      <c r="AF385" s="79">
        <v>45001.732766203706</v>
      </c>
      <c r="AG385" s="85">
        <v>45001</v>
      </c>
      <c r="AH385" s="82" t="s">
        <v>3140</v>
      </c>
      <c r="AI385" s="77"/>
      <c r="AJ385" s="77"/>
      <c r="AK385" s="77"/>
      <c r="AL385" s="77"/>
      <c r="AM385" s="77"/>
      <c r="AN385" s="77"/>
      <c r="AO385" s="77"/>
      <c r="AP385" s="77"/>
      <c r="AQ385" s="77"/>
      <c r="AR385" s="77"/>
      <c r="AS385" s="77"/>
      <c r="AT385" s="77"/>
      <c r="AU385" s="77"/>
      <c r="AV385" s="80" t="str">
        <f>HYPERLINK("https://pbs.twimg.com/profile_images/1578720730677657602/1Wdsv0wR_normal.jpg")</f>
        <v>https://pbs.twimg.com/profile_images/1578720730677657602/1Wdsv0wR_normal.jpg</v>
      </c>
      <c r="AW385" s="82" t="s">
        <v>4719</v>
      </c>
      <c r="AX385" s="82" t="s">
        <v>4720</v>
      </c>
      <c r="AY385" s="82" t="s">
        <v>5593</v>
      </c>
      <c r="AZ385" s="82" t="s">
        <v>5629</v>
      </c>
      <c r="BA385" s="82" t="s">
        <v>5615</v>
      </c>
      <c r="BB385" s="82" t="s">
        <v>5615</v>
      </c>
      <c r="BC385" s="82" t="s">
        <v>5629</v>
      </c>
      <c r="BD385" s="82" t="s">
        <v>5593</v>
      </c>
      <c r="BE385" s="77"/>
      <c r="BF385" s="77"/>
      <c r="BG385" s="77"/>
      <c r="BH385" s="77"/>
      <c r="BI385" s="77"/>
    </row>
    <row r="386" spans="1:61" x14ac:dyDescent="0.25">
      <c r="A386" s="62" t="s">
        <v>396</v>
      </c>
      <c r="B386" s="62" t="s">
        <v>396</v>
      </c>
      <c r="C386" s="63"/>
      <c r="D386" s="64"/>
      <c r="E386" s="65"/>
      <c r="F386" s="66"/>
      <c r="G386" s="63"/>
      <c r="H386" s="67"/>
      <c r="I386" s="68"/>
      <c r="J386" s="68"/>
      <c r="K386" s="32"/>
      <c r="L386" s="75">
        <v>386</v>
      </c>
      <c r="M386" s="75"/>
      <c r="N386" s="70"/>
      <c r="O386" s="77" t="s">
        <v>179</v>
      </c>
      <c r="P386" s="79">
        <v>45001.732754629629</v>
      </c>
      <c r="Q386" s="77" t="s">
        <v>968</v>
      </c>
      <c r="R386" s="77">
        <v>0</v>
      </c>
      <c r="S386" s="77">
        <v>0</v>
      </c>
      <c r="T386" s="77">
        <v>1</v>
      </c>
      <c r="U386" s="77">
        <v>0</v>
      </c>
      <c r="V386" s="77">
        <v>27</v>
      </c>
      <c r="W386" s="82" t="s">
        <v>1793</v>
      </c>
      <c r="X386" s="77"/>
      <c r="Y386" s="77"/>
      <c r="Z386" s="77"/>
      <c r="AA386" s="77" t="s">
        <v>2473</v>
      </c>
      <c r="AB386" s="77" t="s">
        <v>2717</v>
      </c>
      <c r="AC386" s="82" t="s">
        <v>2737</v>
      </c>
      <c r="AD386" s="77" t="s">
        <v>2752</v>
      </c>
      <c r="AE386" s="80" t="str">
        <f>HYPERLINK("https://twitter.com/blackhatpt/status/1636420857726681096")</f>
        <v>https://twitter.com/blackhatpt/status/1636420857726681096</v>
      </c>
      <c r="AF386" s="79">
        <v>45001.732754629629</v>
      </c>
      <c r="AG386" s="85">
        <v>45001</v>
      </c>
      <c r="AH386" s="82" t="s">
        <v>3141</v>
      </c>
      <c r="AI386" s="77" t="b">
        <v>0</v>
      </c>
      <c r="AJ386" s="77"/>
      <c r="AK386" s="77"/>
      <c r="AL386" s="77"/>
      <c r="AM386" s="77"/>
      <c r="AN386" s="77"/>
      <c r="AO386" s="77"/>
      <c r="AP386" s="77"/>
      <c r="AQ386" s="77" t="s">
        <v>4099</v>
      </c>
      <c r="AR386" s="77"/>
      <c r="AS386" s="77"/>
      <c r="AT386" s="77"/>
      <c r="AU386" s="77"/>
      <c r="AV386" s="80" t="str">
        <f>HYPERLINK("https://pbs.twimg.com/tweet_video_thumb/FrW8FYzWwBIbYiN.jpg")</f>
        <v>https://pbs.twimg.com/tweet_video_thumb/FrW8FYzWwBIbYiN.jpg</v>
      </c>
      <c r="AW386" s="82" t="s">
        <v>4720</v>
      </c>
      <c r="AX386" s="82" t="s">
        <v>4720</v>
      </c>
      <c r="AY386" s="77"/>
      <c r="AZ386" s="82" t="s">
        <v>5615</v>
      </c>
      <c r="BA386" s="82" t="s">
        <v>5615</v>
      </c>
      <c r="BB386" s="82" t="s">
        <v>5615</v>
      </c>
      <c r="BC386" s="82" t="s">
        <v>4720</v>
      </c>
      <c r="BD386" s="82" t="s">
        <v>5593</v>
      </c>
      <c r="BE386" s="77"/>
      <c r="BF386" s="77"/>
      <c r="BG386" s="77"/>
      <c r="BH386" s="77"/>
      <c r="BI386" s="77"/>
    </row>
    <row r="387" spans="1:61" x14ac:dyDescent="0.25">
      <c r="A387" s="62" t="s">
        <v>397</v>
      </c>
      <c r="B387" s="62" t="s">
        <v>571</v>
      </c>
      <c r="C387" s="63"/>
      <c r="D387" s="64"/>
      <c r="E387" s="65"/>
      <c r="F387" s="66"/>
      <c r="G387" s="63"/>
      <c r="H387" s="67"/>
      <c r="I387" s="68"/>
      <c r="J387" s="68"/>
      <c r="K387" s="32"/>
      <c r="L387" s="75">
        <v>387</v>
      </c>
      <c r="M387" s="75"/>
      <c r="N387" s="70"/>
      <c r="O387" s="77" t="s">
        <v>583</v>
      </c>
      <c r="P387" s="79">
        <v>45118.435486111113</v>
      </c>
      <c r="Q387" s="77" t="s">
        <v>969</v>
      </c>
      <c r="R387" s="77">
        <v>0</v>
      </c>
      <c r="S387" s="77">
        <v>0</v>
      </c>
      <c r="T387" s="77">
        <v>0</v>
      </c>
      <c r="U387" s="77">
        <v>0</v>
      </c>
      <c r="V387" s="77">
        <v>42</v>
      </c>
      <c r="W387" s="82" t="s">
        <v>1563</v>
      </c>
      <c r="X387" s="77"/>
      <c r="Y387" s="77"/>
      <c r="Z387" s="77" t="s">
        <v>571</v>
      </c>
      <c r="AA387" s="77"/>
      <c r="AB387" s="77"/>
      <c r="AC387" s="82" t="s">
        <v>2722</v>
      </c>
      <c r="AD387" s="77" t="s">
        <v>2752</v>
      </c>
      <c r="AE387" s="80" t="str">
        <f>HYPERLINK("https://twitter.com/tomeacao/status/1678712511716098048")</f>
        <v>https://twitter.com/tomeacao/status/1678712511716098048</v>
      </c>
      <c r="AF387" s="79">
        <v>45118.435486111113</v>
      </c>
      <c r="AG387" s="85">
        <v>45118</v>
      </c>
      <c r="AH387" s="82" t="s">
        <v>3142</v>
      </c>
      <c r="AI387" s="77"/>
      <c r="AJ387" s="77"/>
      <c r="AK387" s="77"/>
      <c r="AL387" s="77"/>
      <c r="AM387" s="77"/>
      <c r="AN387" s="77"/>
      <c r="AO387" s="77"/>
      <c r="AP387" s="77"/>
      <c r="AQ387" s="77"/>
      <c r="AR387" s="77"/>
      <c r="AS387" s="77"/>
      <c r="AT387" s="77"/>
      <c r="AU387" s="77"/>
      <c r="AV387" s="80" t="str">
        <f>HYPERLINK("https://pbs.twimg.com/profile_images/1678426241513267200/FEYur0I-_normal.jpg")</f>
        <v>https://pbs.twimg.com/profile_images/1678426241513267200/FEYur0I-_normal.jpg</v>
      </c>
      <c r="AW387" s="82" t="s">
        <v>4721</v>
      </c>
      <c r="AX387" s="82" t="s">
        <v>5340</v>
      </c>
      <c r="AY387" s="82" t="s">
        <v>5594</v>
      </c>
      <c r="AZ387" s="82" t="s">
        <v>5340</v>
      </c>
      <c r="BA387" s="82" t="s">
        <v>5615</v>
      </c>
      <c r="BB387" s="82" t="s">
        <v>5615</v>
      </c>
      <c r="BC387" s="82" t="s">
        <v>5340</v>
      </c>
      <c r="BD387" s="82" t="s">
        <v>5979</v>
      </c>
      <c r="BE387" s="77"/>
      <c r="BF387" s="77"/>
      <c r="BG387" s="77"/>
      <c r="BH387" s="77"/>
      <c r="BI387" s="77"/>
    </row>
    <row r="388" spans="1:61" x14ac:dyDescent="0.25">
      <c r="A388" s="62" t="s">
        <v>398</v>
      </c>
      <c r="B388" s="62" t="s">
        <v>398</v>
      </c>
      <c r="C388" s="63"/>
      <c r="D388" s="64"/>
      <c r="E388" s="65"/>
      <c r="F388" s="66"/>
      <c r="G388" s="63"/>
      <c r="H388" s="67"/>
      <c r="I388" s="68"/>
      <c r="J388" s="68"/>
      <c r="K388" s="32"/>
      <c r="L388" s="75">
        <v>388</v>
      </c>
      <c r="M388" s="75"/>
      <c r="N388" s="70"/>
      <c r="O388" s="77" t="s">
        <v>179</v>
      </c>
      <c r="P388" s="79">
        <v>45180.404293981483</v>
      </c>
      <c r="Q388" s="77" t="s">
        <v>970</v>
      </c>
      <c r="R388" s="77">
        <v>0</v>
      </c>
      <c r="S388" s="77">
        <v>0</v>
      </c>
      <c r="T388" s="77">
        <v>0</v>
      </c>
      <c r="U388" s="77">
        <v>0</v>
      </c>
      <c r="V388" s="77">
        <v>15</v>
      </c>
      <c r="W388" s="82" t="s">
        <v>1794</v>
      </c>
      <c r="X388" s="80" t="str">
        <f>HYPERLINK("https://www.youtube.com/watch?v=Wr03OVToaiY")</f>
        <v>https://www.youtube.com/watch?v=Wr03OVToaiY</v>
      </c>
      <c r="Y388" s="77" t="s">
        <v>2140</v>
      </c>
      <c r="Z388" s="77"/>
      <c r="AA388" s="77"/>
      <c r="AB388" s="77"/>
      <c r="AC388" s="82" t="s">
        <v>2722</v>
      </c>
      <c r="AD388" s="77" t="s">
        <v>2752</v>
      </c>
      <c r="AE388" s="80" t="str">
        <f>HYPERLINK("https://twitter.com/marcia23403/status/1701169257948541278")</f>
        <v>https://twitter.com/marcia23403/status/1701169257948541278</v>
      </c>
      <c r="AF388" s="79">
        <v>45180.404293981483</v>
      </c>
      <c r="AG388" s="85">
        <v>45180</v>
      </c>
      <c r="AH388" s="82" t="s">
        <v>3143</v>
      </c>
      <c r="AI388" s="77" t="b">
        <v>0</v>
      </c>
      <c r="AJ388" s="77"/>
      <c r="AK388" s="77"/>
      <c r="AL388" s="77"/>
      <c r="AM388" s="77"/>
      <c r="AN388" s="77"/>
      <c r="AO388" s="77"/>
      <c r="AP388" s="77"/>
      <c r="AQ388" s="77"/>
      <c r="AR388" s="77"/>
      <c r="AS388" s="77"/>
      <c r="AT388" s="77"/>
      <c r="AU388" s="77"/>
      <c r="AV388" s="80" t="str">
        <f>HYPERLINK("https://pbs.twimg.com/profile_images/1675132868509548545/mmUaCGuZ_normal.jpg")</f>
        <v>https://pbs.twimg.com/profile_images/1675132868509548545/mmUaCGuZ_normal.jpg</v>
      </c>
      <c r="AW388" s="82" t="s">
        <v>4722</v>
      </c>
      <c r="AX388" s="82" t="s">
        <v>4722</v>
      </c>
      <c r="AY388" s="77"/>
      <c r="AZ388" s="82" t="s">
        <v>5615</v>
      </c>
      <c r="BA388" s="82" t="s">
        <v>5615</v>
      </c>
      <c r="BB388" s="82" t="s">
        <v>5615</v>
      </c>
      <c r="BC388" s="82" t="s">
        <v>4722</v>
      </c>
      <c r="BD388" s="82" t="s">
        <v>5980</v>
      </c>
      <c r="BE388" s="77"/>
      <c r="BF388" s="77"/>
      <c r="BG388" s="77"/>
      <c r="BH388" s="77"/>
      <c r="BI388" s="77"/>
    </row>
    <row r="389" spans="1:61" x14ac:dyDescent="0.25">
      <c r="A389" s="62" t="s">
        <v>399</v>
      </c>
      <c r="B389" s="62" t="s">
        <v>399</v>
      </c>
      <c r="C389" s="63"/>
      <c r="D389" s="64"/>
      <c r="E389" s="65"/>
      <c r="F389" s="66"/>
      <c r="G389" s="63"/>
      <c r="H389" s="67"/>
      <c r="I389" s="68"/>
      <c r="J389" s="68"/>
      <c r="K389" s="32"/>
      <c r="L389" s="75">
        <v>389</v>
      </c>
      <c r="M389" s="75"/>
      <c r="N389" s="70"/>
      <c r="O389" s="77" t="s">
        <v>179</v>
      </c>
      <c r="P389" s="79">
        <v>45143.152650462966</v>
      </c>
      <c r="Q389" s="77" t="s">
        <v>971</v>
      </c>
      <c r="R389" s="77">
        <v>0</v>
      </c>
      <c r="S389" s="77">
        <v>0</v>
      </c>
      <c r="T389" s="77">
        <v>0</v>
      </c>
      <c r="U389" s="77">
        <v>0</v>
      </c>
      <c r="V389" s="77">
        <v>21</v>
      </c>
      <c r="W389" s="82" t="s">
        <v>1795</v>
      </c>
      <c r="X389" s="77"/>
      <c r="Y389" s="77"/>
      <c r="Z389" s="77"/>
      <c r="AA389" s="77" t="s">
        <v>2474</v>
      </c>
      <c r="AB389" s="77" t="s">
        <v>2713</v>
      </c>
      <c r="AC389" s="82" t="s">
        <v>2719</v>
      </c>
      <c r="AD389" s="77" t="s">
        <v>2753</v>
      </c>
      <c r="AE389" s="80" t="str">
        <f>HYPERLINK("https://twitter.com/vander74752/status/1687669713101307904")</f>
        <v>https://twitter.com/vander74752/status/1687669713101307904</v>
      </c>
      <c r="AF389" s="79">
        <v>45143.152650462966</v>
      </c>
      <c r="AG389" s="85">
        <v>45143</v>
      </c>
      <c r="AH389" s="82" t="s">
        <v>3144</v>
      </c>
      <c r="AI389" s="77" t="b">
        <v>0</v>
      </c>
      <c r="AJ389" s="77"/>
      <c r="AK389" s="77"/>
      <c r="AL389" s="77"/>
      <c r="AM389" s="77"/>
      <c r="AN389" s="77"/>
      <c r="AO389" s="77"/>
      <c r="AP389" s="77"/>
      <c r="AQ389" s="77" t="s">
        <v>4100</v>
      </c>
      <c r="AR389" s="77">
        <v>14120</v>
      </c>
      <c r="AS389" s="77"/>
      <c r="AT389" s="77"/>
      <c r="AU389" s="77"/>
      <c r="AV389" s="80" t="str">
        <f>HYPERLINK("https://pbs.twimg.com/ext_tw_video_thumb/1687669682868793344/pu/img/thFCqnIdMvNoghn4.jpg")</f>
        <v>https://pbs.twimg.com/ext_tw_video_thumb/1687669682868793344/pu/img/thFCqnIdMvNoghn4.jpg</v>
      </c>
      <c r="AW389" s="82" t="s">
        <v>4723</v>
      </c>
      <c r="AX389" s="82" t="s">
        <v>4723</v>
      </c>
      <c r="AY389" s="77"/>
      <c r="AZ389" s="82" t="s">
        <v>5615</v>
      </c>
      <c r="BA389" s="82" t="s">
        <v>5615</v>
      </c>
      <c r="BB389" s="82" t="s">
        <v>5615</v>
      </c>
      <c r="BC389" s="82" t="s">
        <v>4723</v>
      </c>
      <c r="BD389" s="82" t="s">
        <v>5981</v>
      </c>
      <c r="BE389" s="77"/>
      <c r="BF389" s="77"/>
      <c r="BG389" s="77"/>
      <c r="BH389" s="77"/>
      <c r="BI389" s="77"/>
    </row>
    <row r="390" spans="1:61" x14ac:dyDescent="0.25">
      <c r="A390" s="62" t="s">
        <v>400</v>
      </c>
      <c r="B390" s="62" t="s">
        <v>400</v>
      </c>
      <c r="C390" s="63"/>
      <c r="D390" s="64"/>
      <c r="E390" s="65"/>
      <c r="F390" s="66"/>
      <c r="G390" s="63"/>
      <c r="H390" s="67"/>
      <c r="I390" s="68"/>
      <c r="J390" s="68"/>
      <c r="K390" s="32"/>
      <c r="L390" s="75">
        <v>390</v>
      </c>
      <c r="M390" s="75"/>
      <c r="N390" s="70"/>
      <c r="O390" s="77" t="s">
        <v>179</v>
      </c>
      <c r="P390" s="79">
        <v>45012.716516203705</v>
      </c>
      <c r="Q390" s="77" t="s">
        <v>972</v>
      </c>
      <c r="R390" s="77">
        <v>0</v>
      </c>
      <c r="S390" s="77">
        <v>0</v>
      </c>
      <c r="T390" s="77">
        <v>0</v>
      </c>
      <c r="U390" s="77">
        <v>0</v>
      </c>
      <c r="V390" s="77">
        <v>7</v>
      </c>
      <c r="W390" s="82" t="s">
        <v>1796</v>
      </c>
      <c r="X390" s="80" t="str">
        <f>HYPERLINK("https://www.instagram.com/p/CnQBuBfDh3j/")</f>
        <v>https://www.instagram.com/p/CnQBuBfDh3j/</v>
      </c>
      <c r="Y390" s="77" t="s">
        <v>2130</v>
      </c>
      <c r="Z390" s="77"/>
      <c r="AA390" s="77" t="s">
        <v>2475</v>
      </c>
      <c r="AB390" s="77" t="s">
        <v>2714</v>
      </c>
      <c r="AC390" s="82" t="s">
        <v>2722</v>
      </c>
      <c r="AD390" s="77" t="s">
        <v>2752</v>
      </c>
      <c r="AE390" s="80" t="str">
        <f>HYPERLINK("https://twitter.com/leoprioficial/status/1640401241623740421")</f>
        <v>https://twitter.com/leoprioficial/status/1640401241623740421</v>
      </c>
      <c r="AF390" s="79">
        <v>45012.716516203705</v>
      </c>
      <c r="AG390" s="85">
        <v>45012</v>
      </c>
      <c r="AH390" s="82" t="s">
        <v>3145</v>
      </c>
      <c r="AI390" s="77" t="b">
        <v>0</v>
      </c>
      <c r="AJ390" s="77"/>
      <c r="AK390" s="77"/>
      <c r="AL390" s="77"/>
      <c r="AM390" s="77"/>
      <c r="AN390" s="77"/>
      <c r="AO390" s="77"/>
      <c r="AP390" s="77"/>
      <c r="AQ390" s="77" t="s">
        <v>4101</v>
      </c>
      <c r="AR390" s="77"/>
      <c r="AS390" s="77"/>
      <c r="AT390" s="77"/>
      <c r="AU390" s="77"/>
      <c r="AV390" s="80" t="str">
        <f>HYPERLINK("https://pbs.twimg.com/media/FsPfyqBXwBIT23n.jpg")</f>
        <v>https://pbs.twimg.com/media/FsPfyqBXwBIT23n.jpg</v>
      </c>
      <c r="AW390" s="82" t="s">
        <v>4724</v>
      </c>
      <c r="AX390" s="82" t="s">
        <v>4724</v>
      </c>
      <c r="AY390" s="77"/>
      <c r="AZ390" s="82" t="s">
        <v>5615</v>
      </c>
      <c r="BA390" s="82" t="s">
        <v>5615</v>
      </c>
      <c r="BB390" s="82" t="s">
        <v>5615</v>
      </c>
      <c r="BC390" s="82" t="s">
        <v>4724</v>
      </c>
      <c r="BD390" s="82" t="s">
        <v>5982</v>
      </c>
      <c r="BE390" s="77"/>
      <c r="BF390" s="77"/>
      <c r="BG390" s="77"/>
      <c r="BH390" s="77"/>
      <c r="BI390" s="77"/>
    </row>
    <row r="391" spans="1:61" x14ac:dyDescent="0.25">
      <c r="A391" s="62" t="s">
        <v>401</v>
      </c>
      <c r="B391" s="62" t="s">
        <v>401</v>
      </c>
      <c r="C391" s="63"/>
      <c r="D391" s="64"/>
      <c r="E391" s="65"/>
      <c r="F391" s="66"/>
      <c r="G391" s="63"/>
      <c r="H391" s="67"/>
      <c r="I391" s="68"/>
      <c r="J391" s="68"/>
      <c r="K391" s="32"/>
      <c r="L391" s="75">
        <v>391</v>
      </c>
      <c r="M391" s="75"/>
      <c r="N391" s="70"/>
      <c r="O391" s="77" t="s">
        <v>179</v>
      </c>
      <c r="P391" s="79">
        <v>44944.110983796294</v>
      </c>
      <c r="Q391" s="77" t="s">
        <v>973</v>
      </c>
      <c r="R391" s="77">
        <v>0</v>
      </c>
      <c r="S391" s="77">
        <v>0</v>
      </c>
      <c r="T391" s="77">
        <v>0</v>
      </c>
      <c r="U391" s="77">
        <v>0</v>
      </c>
      <c r="V391" s="77">
        <v>52</v>
      </c>
      <c r="W391" s="82" t="s">
        <v>1797</v>
      </c>
      <c r="X391" s="80" t="str">
        <f>HYPERLINK("https://go.hotmart.com/Y78590617X")</f>
        <v>https://go.hotmart.com/Y78590617X</v>
      </c>
      <c r="Y391" s="77" t="s">
        <v>2138</v>
      </c>
      <c r="Z391" s="77"/>
      <c r="AA391" s="77" t="s">
        <v>2476</v>
      </c>
      <c r="AB391" s="77" t="s">
        <v>2714</v>
      </c>
      <c r="AC391" s="82" t="s">
        <v>2722</v>
      </c>
      <c r="AD391" s="77" t="s">
        <v>2752</v>
      </c>
      <c r="AE391" s="80" t="str">
        <f>HYPERLINK("https://twitter.com/dilianesilva5/status/1615539427865989120")</f>
        <v>https://twitter.com/dilianesilva5/status/1615539427865989120</v>
      </c>
      <c r="AF391" s="79">
        <v>44944.110983796294</v>
      </c>
      <c r="AG391" s="85">
        <v>44944</v>
      </c>
      <c r="AH391" s="82" t="s">
        <v>3146</v>
      </c>
      <c r="AI391" s="77" t="b">
        <v>0</v>
      </c>
      <c r="AJ391" s="77"/>
      <c r="AK391" s="77"/>
      <c r="AL391" s="77"/>
      <c r="AM391" s="77"/>
      <c r="AN391" s="77"/>
      <c r="AO391" s="77"/>
      <c r="AP391" s="77"/>
      <c r="AQ391" s="77" t="s">
        <v>4102</v>
      </c>
      <c r="AR391" s="77"/>
      <c r="AS391" s="77"/>
      <c r="AT391" s="77"/>
      <c r="AU391" s="77"/>
      <c r="AV391" s="80" t="str">
        <f>HYPERLINK("https://pbs.twimg.com/media/FmuLhx2XoAAMT-5.jpg")</f>
        <v>https://pbs.twimg.com/media/FmuLhx2XoAAMT-5.jpg</v>
      </c>
      <c r="AW391" s="82" t="s">
        <v>4725</v>
      </c>
      <c r="AX391" s="82" t="s">
        <v>4725</v>
      </c>
      <c r="AY391" s="77"/>
      <c r="AZ391" s="82" t="s">
        <v>5615</v>
      </c>
      <c r="BA391" s="82" t="s">
        <v>5615</v>
      </c>
      <c r="BB391" s="82" t="s">
        <v>5615</v>
      </c>
      <c r="BC391" s="82" t="s">
        <v>4725</v>
      </c>
      <c r="BD391" s="82" t="s">
        <v>5983</v>
      </c>
      <c r="BE391" s="77"/>
      <c r="BF391" s="77"/>
      <c r="BG391" s="77"/>
      <c r="BH391" s="77"/>
      <c r="BI391" s="77"/>
    </row>
    <row r="392" spans="1:61" x14ac:dyDescent="0.25">
      <c r="A392" s="62" t="s">
        <v>402</v>
      </c>
      <c r="B392" s="62" t="s">
        <v>402</v>
      </c>
      <c r="C392" s="63"/>
      <c r="D392" s="64"/>
      <c r="E392" s="65"/>
      <c r="F392" s="66"/>
      <c r="G392" s="63"/>
      <c r="H392" s="67"/>
      <c r="I392" s="68"/>
      <c r="J392" s="68"/>
      <c r="K392" s="32"/>
      <c r="L392" s="75">
        <v>392</v>
      </c>
      <c r="M392" s="75"/>
      <c r="N392" s="70"/>
      <c r="O392" s="77" t="s">
        <v>179</v>
      </c>
      <c r="P392" s="79">
        <v>44949.504803240743</v>
      </c>
      <c r="Q392" s="77" t="s">
        <v>974</v>
      </c>
      <c r="R392" s="77">
        <v>0</v>
      </c>
      <c r="S392" s="77">
        <v>0</v>
      </c>
      <c r="T392" s="77">
        <v>0</v>
      </c>
      <c r="U392" s="77">
        <v>0</v>
      </c>
      <c r="V392" s="77">
        <v>2</v>
      </c>
      <c r="W392" s="82" t="s">
        <v>1798</v>
      </c>
      <c r="X392" s="77"/>
      <c r="Y392" s="77"/>
      <c r="Z392" s="77"/>
      <c r="AA392" s="77"/>
      <c r="AB392" s="77"/>
      <c r="AC392" s="82" t="s">
        <v>2720</v>
      </c>
      <c r="AD392" s="77" t="s">
        <v>2752</v>
      </c>
      <c r="AE392" s="80" t="str">
        <f>HYPERLINK("https://twitter.com/caminhodoinves1/status/1617494082355437568")</f>
        <v>https://twitter.com/caminhodoinves1/status/1617494082355437568</v>
      </c>
      <c r="AF392" s="79">
        <v>44949.504803240743</v>
      </c>
      <c r="AG392" s="85">
        <v>44949</v>
      </c>
      <c r="AH392" s="82" t="s">
        <v>3147</v>
      </c>
      <c r="AI392" s="77"/>
      <c r="AJ392" s="77"/>
      <c r="AK392" s="77"/>
      <c r="AL392" s="77"/>
      <c r="AM392" s="77"/>
      <c r="AN392" s="77"/>
      <c r="AO392" s="77"/>
      <c r="AP392" s="77"/>
      <c r="AQ392" s="77"/>
      <c r="AR392" s="77"/>
      <c r="AS392" s="77"/>
      <c r="AT392" s="77"/>
      <c r="AU392" s="77"/>
      <c r="AV392" s="80" t="str">
        <f>HYPERLINK("https://pbs.twimg.com/profile_images/1494034280338571265/5HQ_Gu6j_normal.jpg")</f>
        <v>https://pbs.twimg.com/profile_images/1494034280338571265/5HQ_Gu6j_normal.jpg</v>
      </c>
      <c r="AW392" s="82" t="s">
        <v>4726</v>
      </c>
      <c r="AX392" s="82" t="s">
        <v>4726</v>
      </c>
      <c r="AY392" s="77"/>
      <c r="AZ392" s="82" t="s">
        <v>5615</v>
      </c>
      <c r="BA392" s="82" t="s">
        <v>5615</v>
      </c>
      <c r="BB392" s="82" t="s">
        <v>5615</v>
      </c>
      <c r="BC392" s="82" t="s">
        <v>4726</v>
      </c>
      <c r="BD392" s="82" t="s">
        <v>5984</v>
      </c>
      <c r="BE392" s="77"/>
      <c r="BF392" s="77"/>
      <c r="BG392" s="77"/>
      <c r="BH392" s="77"/>
      <c r="BI392" s="77"/>
    </row>
    <row r="393" spans="1:61" x14ac:dyDescent="0.25">
      <c r="A393" s="62" t="s">
        <v>403</v>
      </c>
      <c r="B393" s="62" t="s">
        <v>403</v>
      </c>
      <c r="C393" s="63"/>
      <c r="D393" s="64"/>
      <c r="E393" s="65"/>
      <c r="F393" s="66"/>
      <c r="G393" s="63"/>
      <c r="H393" s="67"/>
      <c r="I393" s="68"/>
      <c r="J393" s="68"/>
      <c r="K393" s="32"/>
      <c r="L393" s="75">
        <v>393</v>
      </c>
      <c r="M393" s="75"/>
      <c r="N393" s="70"/>
      <c r="O393" s="77" t="s">
        <v>179</v>
      </c>
      <c r="P393" s="79">
        <v>44979.956203703703</v>
      </c>
      <c r="Q393" s="77" t="s">
        <v>975</v>
      </c>
      <c r="R393" s="77">
        <v>0</v>
      </c>
      <c r="S393" s="77">
        <v>0</v>
      </c>
      <c r="T393" s="77">
        <v>0</v>
      </c>
      <c r="U393" s="77">
        <v>0</v>
      </c>
      <c r="V393" s="77">
        <v>6</v>
      </c>
      <c r="W393" s="82" t="s">
        <v>1563</v>
      </c>
      <c r="X393" s="80" t="str">
        <f>HYPERLINK("https://www.instagram.com/p/Co-3PgapNYgidwec_CcHgOaXK-g9pl3mAoXX7I0/?igshid=YTgzYjQ4ZTY=")</f>
        <v>https://www.instagram.com/p/Co-3PgapNYgidwec_CcHgOaXK-g9pl3mAoXX7I0/?igshid=YTgzYjQ4ZTY=</v>
      </c>
      <c r="Y393" s="77" t="s">
        <v>2130</v>
      </c>
      <c r="Z393" s="77"/>
      <c r="AA393" s="77"/>
      <c r="AB393" s="77"/>
      <c r="AC393" s="82" t="s">
        <v>2723</v>
      </c>
      <c r="AD393" s="77" t="s">
        <v>2753</v>
      </c>
      <c r="AE393" s="80" t="str">
        <f>HYPERLINK("https://twitter.com/rvgrande/status/1628529298440167444")</f>
        <v>https://twitter.com/rvgrande/status/1628529298440167444</v>
      </c>
      <c r="AF393" s="79">
        <v>44979.956203703703</v>
      </c>
      <c r="AG393" s="85">
        <v>44979</v>
      </c>
      <c r="AH393" s="82" t="s">
        <v>3148</v>
      </c>
      <c r="AI393" s="77" t="b">
        <v>0</v>
      </c>
      <c r="AJ393" s="77"/>
      <c r="AK393" s="77"/>
      <c r="AL393" s="77"/>
      <c r="AM393" s="77"/>
      <c r="AN393" s="77"/>
      <c r="AO393" s="77"/>
      <c r="AP393" s="77"/>
      <c r="AQ393" s="77"/>
      <c r="AR393" s="77"/>
      <c r="AS393" s="77"/>
      <c r="AT393" s="77"/>
      <c r="AU393" s="77"/>
      <c r="AV393" s="80" t="str">
        <f>HYPERLINK("https://pbs.twimg.com/profile_images/1646999309273931777/piJiy2J0_normal.jpg")</f>
        <v>https://pbs.twimg.com/profile_images/1646999309273931777/piJiy2J0_normal.jpg</v>
      </c>
      <c r="AW393" s="82" t="s">
        <v>4727</v>
      </c>
      <c r="AX393" s="82" t="s">
        <v>4727</v>
      </c>
      <c r="AY393" s="77"/>
      <c r="AZ393" s="82" t="s">
        <v>5615</v>
      </c>
      <c r="BA393" s="82" t="s">
        <v>5615</v>
      </c>
      <c r="BB393" s="82" t="s">
        <v>5615</v>
      </c>
      <c r="BC393" s="82" t="s">
        <v>4727</v>
      </c>
      <c r="BD393" s="77">
        <v>48575148</v>
      </c>
      <c r="BE393" s="77"/>
      <c r="BF393" s="77"/>
      <c r="BG393" s="77"/>
      <c r="BH393" s="77"/>
      <c r="BI393" s="77"/>
    </row>
    <row r="394" spans="1:61" x14ac:dyDescent="0.25">
      <c r="A394" s="62" t="s">
        <v>404</v>
      </c>
      <c r="B394" s="62" t="s">
        <v>404</v>
      </c>
      <c r="C394" s="63"/>
      <c r="D394" s="64"/>
      <c r="E394" s="65"/>
      <c r="F394" s="66"/>
      <c r="G394" s="63"/>
      <c r="H394" s="67"/>
      <c r="I394" s="68"/>
      <c r="J394" s="68"/>
      <c r="K394" s="32"/>
      <c r="L394" s="75">
        <v>394</v>
      </c>
      <c r="M394" s="75"/>
      <c r="N394" s="70"/>
      <c r="O394" s="77" t="s">
        <v>179</v>
      </c>
      <c r="P394" s="79">
        <v>45178.981736111113</v>
      </c>
      <c r="Q394" s="77" t="s">
        <v>976</v>
      </c>
      <c r="R394" s="77">
        <v>0</v>
      </c>
      <c r="S394" s="77">
        <v>0</v>
      </c>
      <c r="T394" s="77">
        <v>0</v>
      </c>
      <c r="U394" s="77">
        <v>0</v>
      </c>
      <c r="V394" s="77">
        <v>52</v>
      </c>
      <c r="W394" s="82" t="s">
        <v>1799</v>
      </c>
      <c r="X394" s="80" t="str">
        <f>HYPERLINK("https://www.tiktok.com/@oscortesmarketingdigital/video/7276958521642519813?is_from_webapp=1&amp;sender_device=pc&amp;web_id=7272876152686413317")</f>
        <v>https://www.tiktok.com/@oscortesmarketingdigital/video/7276958521642519813?is_from_webapp=1&amp;sender_device=pc&amp;web_id=7272876152686413317</v>
      </c>
      <c r="Y394" s="77" t="s">
        <v>2161</v>
      </c>
      <c r="Z394" s="77"/>
      <c r="AA394" s="77"/>
      <c r="AB394" s="77"/>
      <c r="AC394" s="82" t="s">
        <v>2722</v>
      </c>
      <c r="AD394" s="77" t="s">
        <v>2752</v>
      </c>
      <c r="AE394" s="80" t="str">
        <f>HYPERLINK("https://twitter.com/fatos_pro/status/1700653737927131148")</f>
        <v>https://twitter.com/fatos_pro/status/1700653737927131148</v>
      </c>
      <c r="AF394" s="79">
        <v>45178.981736111113</v>
      </c>
      <c r="AG394" s="85">
        <v>45178</v>
      </c>
      <c r="AH394" s="82" t="s">
        <v>3149</v>
      </c>
      <c r="AI394" s="77" t="b">
        <v>0</v>
      </c>
      <c r="AJ394" s="77"/>
      <c r="AK394" s="77"/>
      <c r="AL394" s="77"/>
      <c r="AM394" s="77"/>
      <c r="AN394" s="77"/>
      <c r="AO394" s="77"/>
      <c r="AP394" s="77"/>
      <c r="AQ394" s="77"/>
      <c r="AR394" s="77"/>
      <c r="AS394" s="77"/>
      <c r="AT394" s="77"/>
      <c r="AU394" s="77"/>
      <c r="AV394" s="80" t="str">
        <f>HYPERLINK("https://pbs.twimg.com/profile_images/1700644174133870592/9vDDJ8Qg_normal.jpg")</f>
        <v>https://pbs.twimg.com/profile_images/1700644174133870592/9vDDJ8Qg_normal.jpg</v>
      </c>
      <c r="AW394" s="82" t="s">
        <v>4728</v>
      </c>
      <c r="AX394" s="82" t="s">
        <v>4728</v>
      </c>
      <c r="AY394" s="77"/>
      <c r="AZ394" s="82" t="s">
        <v>5615</v>
      </c>
      <c r="BA394" s="82" t="s">
        <v>5615</v>
      </c>
      <c r="BB394" s="82" t="s">
        <v>5615</v>
      </c>
      <c r="BC394" s="82" t="s">
        <v>4728</v>
      </c>
      <c r="BD394" s="82" t="s">
        <v>5985</v>
      </c>
      <c r="BE394" s="77"/>
      <c r="BF394" s="77"/>
      <c r="BG394" s="77"/>
      <c r="BH394" s="77"/>
      <c r="BI394" s="77"/>
    </row>
    <row r="395" spans="1:61" x14ac:dyDescent="0.25">
      <c r="A395" s="62" t="s">
        <v>404</v>
      </c>
      <c r="B395" s="62" t="s">
        <v>404</v>
      </c>
      <c r="C395" s="63"/>
      <c r="D395" s="64"/>
      <c r="E395" s="65"/>
      <c r="F395" s="66"/>
      <c r="G395" s="63"/>
      <c r="H395" s="67"/>
      <c r="I395" s="68"/>
      <c r="J395" s="68"/>
      <c r="K395" s="32"/>
      <c r="L395" s="75">
        <v>395</v>
      </c>
      <c r="M395" s="75"/>
      <c r="N395" s="70"/>
      <c r="O395" s="77" t="s">
        <v>179</v>
      </c>
      <c r="P395" s="79">
        <v>45178.977997685186</v>
      </c>
      <c r="Q395" s="77" t="s">
        <v>977</v>
      </c>
      <c r="R395" s="77">
        <v>0</v>
      </c>
      <c r="S395" s="77">
        <v>1</v>
      </c>
      <c r="T395" s="77">
        <v>0</v>
      </c>
      <c r="U395" s="77">
        <v>0</v>
      </c>
      <c r="V395" s="77">
        <v>35</v>
      </c>
      <c r="W395" s="82" t="s">
        <v>1800</v>
      </c>
      <c r="X395" s="80" t="str">
        <f>HYPERLINK("https://www.tiktok.com/@oscortesmarketingdigital/video/7276954886485413126?is_from_webapp=1&amp;sender_device=pc&amp;web_id=7272876152686413317")</f>
        <v>https://www.tiktok.com/@oscortesmarketingdigital/video/7276954886485413126?is_from_webapp=1&amp;sender_device=pc&amp;web_id=7272876152686413317</v>
      </c>
      <c r="Y395" s="77" t="s">
        <v>2161</v>
      </c>
      <c r="Z395" s="77"/>
      <c r="AA395" s="77"/>
      <c r="AB395" s="77"/>
      <c r="AC395" s="82" t="s">
        <v>2722</v>
      </c>
      <c r="AD395" s="77" t="s">
        <v>2752</v>
      </c>
      <c r="AE395" s="80" t="str">
        <f>HYPERLINK("https://twitter.com/fatos_pro/status/1700652384043880530")</f>
        <v>https://twitter.com/fatos_pro/status/1700652384043880530</v>
      </c>
      <c r="AF395" s="79">
        <v>45178.977997685186</v>
      </c>
      <c r="AG395" s="85">
        <v>45178</v>
      </c>
      <c r="AH395" s="82" t="s">
        <v>3150</v>
      </c>
      <c r="AI395" s="77" t="b">
        <v>0</v>
      </c>
      <c r="AJ395" s="77"/>
      <c r="AK395" s="77"/>
      <c r="AL395" s="77"/>
      <c r="AM395" s="77"/>
      <c r="AN395" s="77"/>
      <c r="AO395" s="77"/>
      <c r="AP395" s="77"/>
      <c r="AQ395" s="77"/>
      <c r="AR395" s="77"/>
      <c r="AS395" s="77"/>
      <c r="AT395" s="77"/>
      <c r="AU395" s="77"/>
      <c r="AV395" s="80" t="str">
        <f>HYPERLINK("https://pbs.twimg.com/profile_images/1700644174133870592/9vDDJ8Qg_normal.jpg")</f>
        <v>https://pbs.twimg.com/profile_images/1700644174133870592/9vDDJ8Qg_normal.jpg</v>
      </c>
      <c r="AW395" s="82" t="s">
        <v>4729</v>
      </c>
      <c r="AX395" s="82" t="s">
        <v>4729</v>
      </c>
      <c r="AY395" s="77"/>
      <c r="AZ395" s="82" t="s">
        <v>5615</v>
      </c>
      <c r="BA395" s="82" t="s">
        <v>5615</v>
      </c>
      <c r="BB395" s="82" t="s">
        <v>5615</v>
      </c>
      <c r="BC395" s="82" t="s">
        <v>4729</v>
      </c>
      <c r="BD395" s="82" t="s">
        <v>5985</v>
      </c>
      <c r="BE395" s="77"/>
      <c r="BF395" s="77"/>
      <c r="BG395" s="77"/>
      <c r="BH395" s="77"/>
      <c r="BI395" s="77"/>
    </row>
    <row r="396" spans="1:61" x14ac:dyDescent="0.25">
      <c r="A396" s="62" t="s">
        <v>404</v>
      </c>
      <c r="B396" s="62" t="s">
        <v>404</v>
      </c>
      <c r="C396" s="63"/>
      <c r="D396" s="64"/>
      <c r="E396" s="65"/>
      <c r="F396" s="66"/>
      <c r="G396" s="63"/>
      <c r="H396" s="67"/>
      <c r="I396" s="68"/>
      <c r="J396" s="68"/>
      <c r="K396" s="32"/>
      <c r="L396" s="75">
        <v>396</v>
      </c>
      <c r="M396" s="75"/>
      <c r="N396" s="70"/>
      <c r="O396" s="77" t="s">
        <v>179</v>
      </c>
      <c r="P396" s="79">
        <v>45178.952569444446</v>
      </c>
      <c r="Q396" s="77" t="s">
        <v>978</v>
      </c>
      <c r="R396" s="77">
        <v>0</v>
      </c>
      <c r="S396" s="77">
        <v>1</v>
      </c>
      <c r="T396" s="77">
        <v>0</v>
      </c>
      <c r="U396" s="77">
        <v>0</v>
      </c>
      <c r="V396" s="77">
        <v>36</v>
      </c>
      <c r="W396" s="82" t="s">
        <v>1801</v>
      </c>
      <c r="X396" s="80" t="str">
        <f>HYPERLINK("https://www.tiktok.com/@oscortesmarketingdigital/video/7276953479862701317?is_from_webapp=1&amp;sender_device=pc&amp;web_id=7272876152686413317")</f>
        <v>https://www.tiktok.com/@oscortesmarketingdigital/video/7276953479862701317?is_from_webapp=1&amp;sender_device=pc&amp;web_id=7272876152686413317</v>
      </c>
      <c r="Y396" s="77" t="s">
        <v>2161</v>
      </c>
      <c r="Z396" s="77"/>
      <c r="AA396" s="77"/>
      <c r="AB396" s="77"/>
      <c r="AC396" s="82" t="s">
        <v>2722</v>
      </c>
      <c r="AD396" s="77" t="s">
        <v>2752</v>
      </c>
      <c r="AE396" s="80" t="str">
        <f>HYPERLINK("https://twitter.com/fatos_pro/status/1700643170214621406")</f>
        <v>https://twitter.com/fatos_pro/status/1700643170214621406</v>
      </c>
      <c r="AF396" s="79">
        <v>45178.952569444446</v>
      </c>
      <c r="AG396" s="85">
        <v>45178</v>
      </c>
      <c r="AH396" s="82" t="s">
        <v>3151</v>
      </c>
      <c r="AI396" s="77" t="b">
        <v>0</v>
      </c>
      <c r="AJ396" s="77"/>
      <c r="AK396" s="77"/>
      <c r="AL396" s="77"/>
      <c r="AM396" s="77"/>
      <c r="AN396" s="77"/>
      <c r="AO396" s="77"/>
      <c r="AP396" s="77"/>
      <c r="AQ396" s="77"/>
      <c r="AR396" s="77"/>
      <c r="AS396" s="77"/>
      <c r="AT396" s="77"/>
      <c r="AU396" s="77"/>
      <c r="AV396" s="80" t="str">
        <f>HYPERLINK("https://pbs.twimg.com/profile_images/1700644174133870592/9vDDJ8Qg_normal.jpg")</f>
        <v>https://pbs.twimg.com/profile_images/1700644174133870592/9vDDJ8Qg_normal.jpg</v>
      </c>
      <c r="AW396" s="82" t="s">
        <v>4730</v>
      </c>
      <c r="AX396" s="82" t="s">
        <v>4730</v>
      </c>
      <c r="AY396" s="77"/>
      <c r="AZ396" s="82" t="s">
        <v>5615</v>
      </c>
      <c r="BA396" s="82" t="s">
        <v>5615</v>
      </c>
      <c r="BB396" s="82" t="s">
        <v>5615</v>
      </c>
      <c r="BC396" s="82" t="s">
        <v>4730</v>
      </c>
      <c r="BD396" s="82" t="s">
        <v>5985</v>
      </c>
      <c r="BE396" s="77"/>
      <c r="BF396" s="77"/>
      <c r="BG396" s="77"/>
      <c r="BH396" s="77"/>
      <c r="BI396" s="77"/>
    </row>
    <row r="397" spans="1:61" x14ac:dyDescent="0.25">
      <c r="A397" s="62" t="s">
        <v>405</v>
      </c>
      <c r="B397" s="62" t="s">
        <v>405</v>
      </c>
      <c r="C397" s="63"/>
      <c r="D397" s="64"/>
      <c r="E397" s="65"/>
      <c r="F397" s="66"/>
      <c r="G397" s="63"/>
      <c r="H397" s="67"/>
      <c r="I397" s="68"/>
      <c r="J397" s="68"/>
      <c r="K397" s="32"/>
      <c r="L397" s="75">
        <v>397</v>
      </c>
      <c r="M397" s="75"/>
      <c r="N397" s="70"/>
      <c r="O397" s="77" t="s">
        <v>179</v>
      </c>
      <c r="P397" s="79">
        <v>45014.584641203706</v>
      </c>
      <c r="Q397" s="77" t="s">
        <v>979</v>
      </c>
      <c r="R397" s="77">
        <v>0</v>
      </c>
      <c r="S397" s="77">
        <v>1</v>
      </c>
      <c r="T397" s="77">
        <v>0</v>
      </c>
      <c r="U397" s="77">
        <v>0</v>
      </c>
      <c r="V397" s="77">
        <v>10</v>
      </c>
      <c r="W397" s="82" t="s">
        <v>1563</v>
      </c>
      <c r="X397" s="77"/>
      <c r="Y397" s="77"/>
      <c r="Z397" s="77"/>
      <c r="AA397" s="77" t="s">
        <v>2477</v>
      </c>
      <c r="AB397" s="77" t="s">
        <v>2714</v>
      </c>
      <c r="AC397" s="82" t="s">
        <v>2719</v>
      </c>
      <c r="AD397" s="77" t="s">
        <v>2752</v>
      </c>
      <c r="AE397" s="80" t="str">
        <f>HYPERLINK("https://twitter.com/conq_liberdade1/status/1641078225286619144")</f>
        <v>https://twitter.com/conq_liberdade1/status/1641078225286619144</v>
      </c>
      <c r="AF397" s="79">
        <v>45014.584641203706</v>
      </c>
      <c r="AG397" s="85">
        <v>45014</v>
      </c>
      <c r="AH397" s="82" t="s">
        <v>3152</v>
      </c>
      <c r="AI397" s="77" t="b">
        <v>0</v>
      </c>
      <c r="AJ397" s="77"/>
      <c r="AK397" s="77"/>
      <c r="AL397" s="77"/>
      <c r="AM397" s="77"/>
      <c r="AN397" s="77"/>
      <c r="AO397" s="77"/>
      <c r="AP397" s="77"/>
      <c r="AQ397" s="77" t="s">
        <v>4103</v>
      </c>
      <c r="AR397" s="77"/>
      <c r="AS397" s="77"/>
      <c r="AT397" s="77"/>
      <c r="AU397" s="77"/>
      <c r="AV397" s="80" t="str">
        <f>HYPERLINK("https://pbs.twimg.com/media/FsZH8kYWcAAvMh9.jpg")</f>
        <v>https://pbs.twimg.com/media/FsZH8kYWcAAvMh9.jpg</v>
      </c>
      <c r="AW397" s="82" t="s">
        <v>4731</v>
      </c>
      <c r="AX397" s="82" t="s">
        <v>4731</v>
      </c>
      <c r="AY397" s="77"/>
      <c r="AZ397" s="82" t="s">
        <v>5615</v>
      </c>
      <c r="BA397" s="82" t="s">
        <v>5615</v>
      </c>
      <c r="BB397" s="82" t="s">
        <v>5615</v>
      </c>
      <c r="BC397" s="82" t="s">
        <v>4731</v>
      </c>
      <c r="BD397" s="82" t="s">
        <v>5986</v>
      </c>
      <c r="BE397" s="77"/>
      <c r="BF397" s="77"/>
      <c r="BG397" s="77"/>
      <c r="BH397" s="77"/>
      <c r="BI397" s="77"/>
    </row>
    <row r="398" spans="1:61" x14ac:dyDescent="0.25">
      <c r="A398" s="62" t="s">
        <v>406</v>
      </c>
      <c r="B398" s="62" t="s">
        <v>406</v>
      </c>
      <c r="C398" s="63"/>
      <c r="D398" s="64"/>
      <c r="E398" s="65"/>
      <c r="F398" s="66"/>
      <c r="G398" s="63"/>
      <c r="H398" s="67"/>
      <c r="I398" s="68"/>
      <c r="J398" s="68"/>
      <c r="K398" s="32"/>
      <c r="L398" s="75">
        <v>398</v>
      </c>
      <c r="M398" s="75"/>
      <c r="N398" s="70"/>
      <c r="O398" s="77" t="s">
        <v>179</v>
      </c>
      <c r="P398" s="79">
        <v>44933.66302083333</v>
      </c>
      <c r="Q398" s="77" t="s">
        <v>980</v>
      </c>
      <c r="R398" s="77">
        <v>0</v>
      </c>
      <c r="S398" s="77">
        <v>0</v>
      </c>
      <c r="T398" s="77">
        <v>0</v>
      </c>
      <c r="U398" s="77">
        <v>0</v>
      </c>
      <c r="V398" s="77">
        <v>27</v>
      </c>
      <c r="W398" s="82" t="s">
        <v>1802</v>
      </c>
      <c r="X398" s="77"/>
      <c r="Y398" s="77"/>
      <c r="Z398" s="77"/>
      <c r="AA398" s="77" t="s">
        <v>2478</v>
      </c>
      <c r="AB398" s="77" t="s">
        <v>2713</v>
      </c>
      <c r="AC398" s="82" t="s">
        <v>2720</v>
      </c>
      <c r="AD398" s="77" t="s">
        <v>2752</v>
      </c>
      <c r="AE398" s="80" t="str">
        <f>HYPERLINK("https://twitter.com/mostbillion/status/1611753214067474434")</f>
        <v>https://twitter.com/mostbillion/status/1611753214067474434</v>
      </c>
      <c r="AF398" s="79">
        <v>44933.66302083333</v>
      </c>
      <c r="AG398" s="85">
        <v>44933</v>
      </c>
      <c r="AH398" s="82" t="s">
        <v>3153</v>
      </c>
      <c r="AI398" s="77" t="b">
        <v>0</v>
      </c>
      <c r="AJ398" s="77"/>
      <c r="AK398" s="77"/>
      <c r="AL398" s="77"/>
      <c r="AM398" s="77"/>
      <c r="AN398" s="77"/>
      <c r="AO398" s="77"/>
      <c r="AP398" s="77"/>
      <c r="AQ398" s="77" t="s">
        <v>4104</v>
      </c>
      <c r="AR398" s="77">
        <v>5800</v>
      </c>
      <c r="AS398" s="77"/>
      <c r="AT398" s="77"/>
      <c r="AU398" s="77"/>
      <c r="AV398" s="80" t="str">
        <f>HYPERLINK("https://pbs.twimg.com/ext_tw_video_thumb/1611753181536555008/pu/img/-iP7sy7d4hJ4IKvC.jpg")</f>
        <v>https://pbs.twimg.com/ext_tw_video_thumb/1611753181536555008/pu/img/-iP7sy7d4hJ4IKvC.jpg</v>
      </c>
      <c r="AW398" s="82" t="s">
        <v>4732</v>
      </c>
      <c r="AX398" s="82" t="s">
        <v>4732</v>
      </c>
      <c r="AY398" s="77"/>
      <c r="AZ398" s="82" t="s">
        <v>5615</v>
      </c>
      <c r="BA398" s="82" t="s">
        <v>5615</v>
      </c>
      <c r="BB398" s="82" t="s">
        <v>5615</v>
      </c>
      <c r="BC398" s="82" t="s">
        <v>4732</v>
      </c>
      <c r="BD398" s="82" t="s">
        <v>5987</v>
      </c>
      <c r="BE398" s="77"/>
      <c r="BF398" s="77"/>
      <c r="BG398" s="77"/>
      <c r="BH398" s="77"/>
      <c r="BI398" s="77"/>
    </row>
    <row r="399" spans="1:61" x14ac:dyDescent="0.25">
      <c r="A399" s="62" t="s">
        <v>406</v>
      </c>
      <c r="B399" s="62" t="s">
        <v>406</v>
      </c>
      <c r="C399" s="63"/>
      <c r="D399" s="64"/>
      <c r="E399" s="65"/>
      <c r="F399" s="66"/>
      <c r="G399" s="63"/>
      <c r="H399" s="67"/>
      <c r="I399" s="68"/>
      <c r="J399" s="68"/>
      <c r="K399" s="32"/>
      <c r="L399" s="75">
        <v>399</v>
      </c>
      <c r="M399" s="75"/>
      <c r="N399" s="70"/>
      <c r="O399" s="77" t="s">
        <v>179</v>
      </c>
      <c r="P399" s="79">
        <v>45032.522731481484</v>
      </c>
      <c r="Q399" s="77" t="s">
        <v>981</v>
      </c>
      <c r="R399" s="77">
        <v>0</v>
      </c>
      <c r="S399" s="77">
        <v>0</v>
      </c>
      <c r="T399" s="77">
        <v>0</v>
      </c>
      <c r="U399" s="77">
        <v>0</v>
      </c>
      <c r="V399" s="77">
        <v>47</v>
      </c>
      <c r="W399" s="82" t="s">
        <v>1803</v>
      </c>
      <c r="X399" s="77"/>
      <c r="Y399" s="77"/>
      <c r="Z399" s="77"/>
      <c r="AA399" s="77" t="s">
        <v>2479</v>
      </c>
      <c r="AB399" s="77" t="s">
        <v>2713</v>
      </c>
      <c r="AC399" s="82" t="s">
        <v>2720</v>
      </c>
      <c r="AD399" s="77" t="s">
        <v>2752</v>
      </c>
      <c r="AE399" s="80" t="str">
        <f>HYPERLINK("https://twitter.com/mostbillion/status/1647578773460594688")</f>
        <v>https://twitter.com/mostbillion/status/1647578773460594688</v>
      </c>
      <c r="AF399" s="79">
        <v>45032.522731481484</v>
      </c>
      <c r="AG399" s="85">
        <v>45032</v>
      </c>
      <c r="AH399" s="82" t="s">
        <v>3154</v>
      </c>
      <c r="AI399" s="77" t="b">
        <v>0</v>
      </c>
      <c r="AJ399" s="77"/>
      <c r="AK399" s="77"/>
      <c r="AL399" s="77"/>
      <c r="AM399" s="77"/>
      <c r="AN399" s="77"/>
      <c r="AO399" s="77"/>
      <c r="AP399" s="77"/>
      <c r="AQ399" s="77" t="s">
        <v>4105</v>
      </c>
      <c r="AR399" s="77">
        <v>29280</v>
      </c>
      <c r="AS399" s="77"/>
      <c r="AT399" s="77"/>
      <c r="AU399" s="77"/>
      <c r="AV399" s="80" t="str">
        <f>HYPERLINK("https://pbs.twimg.com/ext_tw_video_thumb/1647578448888573954/pu/img/QZLj7XtUtfsWZP2t.jpg")</f>
        <v>https://pbs.twimg.com/ext_tw_video_thumb/1647578448888573954/pu/img/QZLj7XtUtfsWZP2t.jpg</v>
      </c>
      <c r="AW399" s="82" t="s">
        <v>4733</v>
      </c>
      <c r="AX399" s="82" t="s">
        <v>4733</v>
      </c>
      <c r="AY399" s="77"/>
      <c r="AZ399" s="82" t="s">
        <v>5615</v>
      </c>
      <c r="BA399" s="82" t="s">
        <v>5615</v>
      </c>
      <c r="BB399" s="82" t="s">
        <v>5615</v>
      </c>
      <c r="BC399" s="82" t="s">
        <v>4733</v>
      </c>
      <c r="BD399" s="82" t="s">
        <v>5987</v>
      </c>
      <c r="BE399" s="77"/>
      <c r="BF399" s="77"/>
      <c r="BG399" s="77"/>
      <c r="BH399" s="77"/>
      <c r="BI399" s="77"/>
    </row>
    <row r="400" spans="1:61" x14ac:dyDescent="0.25">
      <c r="A400" s="62" t="s">
        <v>406</v>
      </c>
      <c r="B400" s="62" t="s">
        <v>406</v>
      </c>
      <c r="C400" s="63"/>
      <c r="D400" s="64"/>
      <c r="E400" s="65"/>
      <c r="F400" s="66"/>
      <c r="G400" s="63"/>
      <c r="H400" s="67"/>
      <c r="I400" s="68"/>
      <c r="J400" s="68"/>
      <c r="K400" s="32"/>
      <c r="L400" s="75">
        <v>400</v>
      </c>
      <c r="M400" s="75"/>
      <c r="N400" s="70"/>
      <c r="O400" s="77" t="s">
        <v>179</v>
      </c>
      <c r="P400" s="79">
        <v>45031.649768518517</v>
      </c>
      <c r="Q400" s="77" t="s">
        <v>982</v>
      </c>
      <c r="R400" s="77">
        <v>0</v>
      </c>
      <c r="S400" s="77">
        <v>0</v>
      </c>
      <c r="T400" s="77">
        <v>0</v>
      </c>
      <c r="U400" s="77">
        <v>0</v>
      </c>
      <c r="V400" s="77">
        <v>28</v>
      </c>
      <c r="W400" s="82" t="s">
        <v>1804</v>
      </c>
      <c r="X400" s="77"/>
      <c r="Y400" s="77"/>
      <c r="Z400" s="77"/>
      <c r="AA400" s="77" t="s">
        <v>2480</v>
      </c>
      <c r="AB400" s="77" t="s">
        <v>2713</v>
      </c>
      <c r="AC400" s="82" t="s">
        <v>2720</v>
      </c>
      <c r="AD400" s="77" t="s">
        <v>2752</v>
      </c>
      <c r="AE400" s="80" t="str">
        <f>HYPERLINK("https://twitter.com/mostbillion/status/1647262422762176512")</f>
        <v>https://twitter.com/mostbillion/status/1647262422762176512</v>
      </c>
      <c r="AF400" s="79">
        <v>45031.649768518517</v>
      </c>
      <c r="AG400" s="85">
        <v>45031</v>
      </c>
      <c r="AH400" s="82" t="s">
        <v>3155</v>
      </c>
      <c r="AI400" s="77" t="b">
        <v>0</v>
      </c>
      <c r="AJ400" s="77"/>
      <c r="AK400" s="77"/>
      <c r="AL400" s="77"/>
      <c r="AM400" s="77"/>
      <c r="AN400" s="77"/>
      <c r="AO400" s="77"/>
      <c r="AP400" s="77"/>
      <c r="AQ400" s="77" t="s">
        <v>4106</v>
      </c>
      <c r="AR400" s="77">
        <v>45000</v>
      </c>
      <c r="AS400" s="77"/>
      <c r="AT400" s="77"/>
      <c r="AU400" s="77"/>
      <c r="AV400" s="80" t="str">
        <f>HYPERLINK("https://pbs.twimg.com/ext_tw_video_thumb/1647262165240369153/pu/img/BnZeK_YHhURoWzur.jpg")</f>
        <v>https://pbs.twimg.com/ext_tw_video_thumb/1647262165240369153/pu/img/BnZeK_YHhURoWzur.jpg</v>
      </c>
      <c r="AW400" s="82" t="s">
        <v>4734</v>
      </c>
      <c r="AX400" s="82" t="s">
        <v>4734</v>
      </c>
      <c r="AY400" s="77"/>
      <c r="AZ400" s="82" t="s">
        <v>5615</v>
      </c>
      <c r="BA400" s="82" t="s">
        <v>5615</v>
      </c>
      <c r="BB400" s="82" t="s">
        <v>5615</v>
      </c>
      <c r="BC400" s="82" t="s">
        <v>4734</v>
      </c>
      <c r="BD400" s="82" t="s">
        <v>5987</v>
      </c>
      <c r="BE400" s="77"/>
      <c r="BF400" s="77"/>
      <c r="BG400" s="77"/>
      <c r="BH400" s="77"/>
      <c r="BI400" s="77"/>
    </row>
    <row r="401" spans="1:61" x14ac:dyDescent="0.25">
      <c r="A401" s="62" t="s">
        <v>407</v>
      </c>
      <c r="B401" s="62" t="s">
        <v>407</v>
      </c>
      <c r="C401" s="63"/>
      <c r="D401" s="64"/>
      <c r="E401" s="65"/>
      <c r="F401" s="66"/>
      <c r="G401" s="63"/>
      <c r="H401" s="67"/>
      <c r="I401" s="68"/>
      <c r="J401" s="68"/>
      <c r="K401" s="32"/>
      <c r="L401" s="75">
        <v>401</v>
      </c>
      <c r="M401" s="75"/>
      <c r="N401" s="70"/>
      <c r="O401" s="77" t="s">
        <v>179</v>
      </c>
      <c r="P401" s="79">
        <v>45090.909942129627</v>
      </c>
      <c r="Q401" s="77" t="s">
        <v>983</v>
      </c>
      <c r="R401" s="77">
        <v>0</v>
      </c>
      <c r="S401" s="77">
        <v>1</v>
      </c>
      <c r="T401" s="77">
        <v>0</v>
      </c>
      <c r="U401" s="77">
        <v>0</v>
      </c>
      <c r="V401" s="77">
        <v>30</v>
      </c>
      <c r="W401" s="82" t="s">
        <v>1805</v>
      </c>
      <c r="X401" s="80" t="str">
        <f>HYPERLINK("http://www.igorvieiraconsultor.com.br")</f>
        <v>http://www.igorvieiraconsultor.com.br</v>
      </c>
      <c r="Y401" s="77" t="s">
        <v>2129</v>
      </c>
      <c r="Z401" s="77"/>
      <c r="AA401" s="77" t="s">
        <v>2481</v>
      </c>
      <c r="AB401" s="77" t="s">
        <v>2714</v>
      </c>
      <c r="AC401" s="82" t="s">
        <v>2720</v>
      </c>
      <c r="AD401" s="77" t="s">
        <v>2752</v>
      </c>
      <c r="AE401" s="80" t="str">
        <f>HYPERLINK("https://twitter.com/igor_vieiraa/status/1668737590495703042")</f>
        <v>https://twitter.com/igor_vieiraa/status/1668737590495703042</v>
      </c>
      <c r="AF401" s="79">
        <v>45090.909942129627</v>
      </c>
      <c r="AG401" s="85">
        <v>45090</v>
      </c>
      <c r="AH401" s="82" t="s">
        <v>3156</v>
      </c>
      <c r="AI401" s="77" t="b">
        <v>0</v>
      </c>
      <c r="AJ401" s="77"/>
      <c r="AK401" s="77"/>
      <c r="AL401" s="77"/>
      <c r="AM401" s="77"/>
      <c r="AN401" s="77"/>
      <c r="AO401" s="77"/>
      <c r="AP401" s="77"/>
      <c r="AQ401" s="77" t="s">
        <v>4107</v>
      </c>
      <c r="AR401" s="77"/>
      <c r="AS401" s="77"/>
      <c r="AT401" s="77"/>
      <c r="AU401" s="77"/>
      <c r="AV401" s="80" t="str">
        <f>HYPERLINK("https://pbs.twimg.com/media/FyiL_YbXoAAQ010.jpg")</f>
        <v>https://pbs.twimg.com/media/FyiL_YbXoAAQ010.jpg</v>
      </c>
      <c r="AW401" s="82" t="s">
        <v>4735</v>
      </c>
      <c r="AX401" s="82" t="s">
        <v>4735</v>
      </c>
      <c r="AY401" s="77"/>
      <c r="AZ401" s="82" t="s">
        <v>5615</v>
      </c>
      <c r="BA401" s="82" t="s">
        <v>5615</v>
      </c>
      <c r="BB401" s="82" t="s">
        <v>5615</v>
      </c>
      <c r="BC401" s="82" t="s">
        <v>4735</v>
      </c>
      <c r="BD401" s="77">
        <v>292867857</v>
      </c>
      <c r="BE401" s="77"/>
      <c r="BF401" s="77"/>
      <c r="BG401" s="77"/>
      <c r="BH401" s="77"/>
      <c r="BI401" s="77"/>
    </row>
    <row r="402" spans="1:61" x14ac:dyDescent="0.25">
      <c r="A402" s="62" t="s">
        <v>407</v>
      </c>
      <c r="B402" s="62" t="s">
        <v>407</v>
      </c>
      <c r="C402" s="63"/>
      <c r="D402" s="64"/>
      <c r="E402" s="65"/>
      <c r="F402" s="66"/>
      <c r="G402" s="63"/>
      <c r="H402" s="67"/>
      <c r="I402" s="68"/>
      <c r="J402" s="68"/>
      <c r="K402" s="32"/>
      <c r="L402" s="75">
        <v>402</v>
      </c>
      <c r="M402" s="75"/>
      <c r="N402" s="70"/>
      <c r="O402" s="77" t="s">
        <v>179</v>
      </c>
      <c r="P402" s="79">
        <v>45140.889664351853</v>
      </c>
      <c r="Q402" s="77" t="s">
        <v>984</v>
      </c>
      <c r="R402" s="77">
        <v>0</v>
      </c>
      <c r="S402" s="77">
        <v>1</v>
      </c>
      <c r="T402" s="77">
        <v>0</v>
      </c>
      <c r="U402" s="77">
        <v>0</v>
      </c>
      <c r="V402" s="77">
        <v>23</v>
      </c>
      <c r="W402" s="82" t="s">
        <v>1806</v>
      </c>
      <c r="X402" s="77"/>
      <c r="Y402" s="77"/>
      <c r="Z402" s="77"/>
      <c r="AA402" s="77" t="s">
        <v>2482</v>
      </c>
      <c r="AB402" s="77" t="s">
        <v>2714</v>
      </c>
      <c r="AC402" s="82" t="s">
        <v>2720</v>
      </c>
      <c r="AD402" s="77" t="s">
        <v>2752</v>
      </c>
      <c r="AE402" s="80" t="str">
        <f>HYPERLINK("https://twitter.com/igor_vieiraa/status/1686849633996124160")</f>
        <v>https://twitter.com/igor_vieiraa/status/1686849633996124160</v>
      </c>
      <c r="AF402" s="79">
        <v>45140.889664351853</v>
      </c>
      <c r="AG402" s="85">
        <v>45140</v>
      </c>
      <c r="AH402" s="82" t="s">
        <v>3157</v>
      </c>
      <c r="AI402" s="77" t="b">
        <v>0</v>
      </c>
      <c r="AJ402" s="77" t="s">
        <v>3743</v>
      </c>
      <c r="AK402" s="77" t="s">
        <v>3752</v>
      </c>
      <c r="AL402" s="77" t="s">
        <v>3755</v>
      </c>
      <c r="AM402" s="77" t="s">
        <v>3766</v>
      </c>
      <c r="AN402" s="77" t="s">
        <v>3783</v>
      </c>
      <c r="AO402" s="77" t="s">
        <v>3800</v>
      </c>
      <c r="AP402" s="77" t="s">
        <v>3808</v>
      </c>
      <c r="AQ402" s="77" t="s">
        <v>4108</v>
      </c>
      <c r="AR402" s="77"/>
      <c r="AS402" s="77"/>
      <c r="AT402" s="77"/>
      <c r="AU402" s="77"/>
      <c r="AV402" s="80" t="str">
        <f>HYPERLINK("https://pbs.twimg.com/media/F2jkzEeWAAA8Bmt.jpg")</f>
        <v>https://pbs.twimg.com/media/F2jkzEeWAAA8Bmt.jpg</v>
      </c>
      <c r="AW402" s="82" t="s">
        <v>4736</v>
      </c>
      <c r="AX402" s="82" t="s">
        <v>4736</v>
      </c>
      <c r="AY402" s="77"/>
      <c r="AZ402" s="82" t="s">
        <v>5615</v>
      </c>
      <c r="BA402" s="82" t="s">
        <v>5615</v>
      </c>
      <c r="BB402" s="82" t="s">
        <v>5615</v>
      </c>
      <c r="BC402" s="82" t="s">
        <v>4736</v>
      </c>
      <c r="BD402" s="77">
        <v>292867857</v>
      </c>
      <c r="BE402" s="77"/>
      <c r="BF402" s="77"/>
      <c r="BG402" s="77"/>
      <c r="BH402" s="77"/>
      <c r="BI402" s="77"/>
    </row>
    <row r="403" spans="1:61" x14ac:dyDescent="0.25">
      <c r="A403" s="62" t="s">
        <v>408</v>
      </c>
      <c r="B403" s="62" t="s">
        <v>408</v>
      </c>
      <c r="C403" s="63"/>
      <c r="D403" s="64"/>
      <c r="E403" s="65"/>
      <c r="F403" s="66"/>
      <c r="G403" s="63"/>
      <c r="H403" s="67"/>
      <c r="I403" s="68"/>
      <c r="J403" s="68"/>
      <c r="K403" s="32"/>
      <c r="L403" s="75">
        <v>403</v>
      </c>
      <c r="M403" s="75"/>
      <c r="N403" s="70"/>
      <c r="O403" s="77" t="s">
        <v>179</v>
      </c>
      <c r="P403" s="79">
        <v>44986.677511574075</v>
      </c>
      <c r="Q403" s="77" t="s">
        <v>985</v>
      </c>
      <c r="R403" s="77">
        <v>0</v>
      </c>
      <c r="S403" s="77">
        <v>1</v>
      </c>
      <c r="T403" s="77">
        <v>0</v>
      </c>
      <c r="U403" s="77">
        <v>0</v>
      </c>
      <c r="V403" s="77">
        <v>173</v>
      </c>
      <c r="W403" s="82" t="s">
        <v>1807</v>
      </c>
      <c r="X403" s="77"/>
      <c r="Y403" s="77"/>
      <c r="Z403" s="77"/>
      <c r="AA403" s="77" t="s">
        <v>2483</v>
      </c>
      <c r="AB403" s="77" t="s">
        <v>2713</v>
      </c>
      <c r="AC403" s="82" t="s">
        <v>2722</v>
      </c>
      <c r="AD403" s="77" t="s">
        <v>2752</v>
      </c>
      <c r="AE403" s="80" t="str">
        <f>HYPERLINK("https://twitter.com/afun_to_earn/status/1630965022926028802")</f>
        <v>https://twitter.com/afun_to_earn/status/1630965022926028802</v>
      </c>
      <c r="AF403" s="79">
        <v>44986.677511574075</v>
      </c>
      <c r="AG403" s="85">
        <v>44986</v>
      </c>
      <c r="AH403" s="82" t="s">
        <v>3158</v>
      </c>
      <c r="AI403" s="77" t="b">
        <v>0</v>
      </c>
      <c r="AJ403" s="77"/>
      <c r="AK403" s="77"/>
      <c r="AL403" s="77"/>
      <c r="AM403" s="77"/>
      <c r="AN403" s="77"/>
      <c r="AO403" s="77"/>
      <c r="AP403" s="77"/>
      <c r="AQ403" s="77" t="s">
        <v>4109</v>
      </c>
      <c r="AR403" s="77">
        <v>13072</v>
      </c>
      <c r="AS403" s="77"/>
      <c r="AT403" s="77"/>
      <c r="AU403" s="77"/>
      <c r="AV403" s="80" t="str">
        <f>HYPERLINK("https://pbs.twimg.com/ext_tw_video_thumb/1630964720717922305/pu/img/lVFbO9j3l_JvEORM.jpg")</f>
        <v>https://pbs.twimg.com/ext_tw_video_thumb/1630964720717922305/pu/img/lVFbO9j3l_JvEORM.jpg</v>
      </c>
      <c r="AW403" s="82" t="s">
        <v>4737</v>
      </c>
      <c r="AX403" s="82" t="s">
        <v>4737</v>
      </c>
      <c r="AY403" s="77"/>
      <c r="AZ403" s="82" t="s">
        <v>5615</v>
      </c>
      <c r="BA403" s="82" t="s">
        <v>5615</v>
      </c>
      <c r="BB403" s="82" t="s">
        <v>5615</v>
      </c>
      <c r="BC403" s="82" t="s">
        <v>4737</v>
      </c>
      <c r="BD403" s="82" t="s">
        <v>5988</v>
      </c>
      <c r="BE403" s="77"/>
      <c r="BF403" s="77"/>
      <c r="BG403" s="77"/>
      <c r="BH403" s="77"/>
      <c r="BI403" s="77"/>
    </row>
    <row r="404" spans="1:61" x14ac:dyDescent="0.25">
      <c r="A404" s="62" t="s">
        <v>408</v>
      </c>
      <c r="B404" s="62" t="s">
        <v>408</v>
      </c>
      <c r="C404" s="63"/>
      <c r="D404" s="64"/>
      <c r="E404" s="65"/>
      <c r="F404" s="66"/>
      <c r="G404" s="63"/>
      <c r="H404" s="67"/>
      <c r="I404" s="68"/>
      <c r="J404" s="68"/>
      <c r="K404" s="32"/>
      <c r="L404" s="75">
        <v>404</v>
      </c>
      <c r="M404" s="75"/>
      <c r="N404" s="70"/>
      <c r="O404" s="77" t="s">
        <v>179</v>
      </c>
      <c r="P404" s="79">
        <v>45012.615104166667</v>
      </c>
      <c r="Q404" s="77" t="s">
        <v>986</v>
      </c>
      <c r="R404" s="77">
        <v>0</v>
      </c>
      <c r="S404" s="77">
        <v>0</v>
      </c>
      <c r="T404" s="77">
        <v>0</v>
      </c>
      <c r="U404" s="77">
        <v>0</v>
      </c>
      <c r="V404" s="77">
        <v>82</v>
      </c>
      <c r="W404" s="82" t="s">
        <v>1808</v>
      </c>
      <c r="X404" s="80" t="str">
        <f>HYPERLINK("http://afun.io/0elff")</f>
        <v>http://afun.io/0elff</v>
      </c>
      <c r="Y404" s="77" t="s">
        <v>2162</v>
      </c>
      <c r="Z404" s="77"/>
      <c r="AA404" s="77" t="s">
        <v>2484</v>
      </c>
      <c r="AB404" s="77" t="s">
        <v>2713</v>
      </c>
      <c r="AC404" s="82" t="s">
        <v>2738</v>
      </c>
      <c r="AD404" s="77" t="s">
        <v>2752</v>
      </c>
      <c r="AE404" s="80" t="str">
        <f>HYPERLINK("https://twitter.com/afun_to_earn/status/1640364488573558788")</f>
        <v>https://twitter.com/afun_to_earn/status/1640364488573558788</v>
      </c>
      <c r="AF404" s="79">
        <v>45012.615104166667</v>
      </c>
      <c r="AG404" s="85">
        <v>45012</v>
      </c>
      <c r="AH404" s="82" t="s">
        <v>3159</v>
      </c>
      <c r="AI404" s="77" t="b">
        <v>0</v>
      </c>
      <c r="AJ404" s="77"/>
      <c r="AK404" s="77"/>
      <c r="AL404" s="77"/>
      <c r="AM404" s="77"/>
      <c r="AN404" s="77"/>
      <c r="AO404" s="77"/>
      <c r="AP404" s="77"/>
      <c r="AQ404" s="77" t="s">
        <v>4110</v>
      </c>
      <c r="AR404" s="77">
        <v>22801</v>
      </c>
      <c r="AS404" s="77"/>
      <c r="AT404" s="77"/>
      <c r="AU404" s="77"/>
      <c r="AV404" s="80" t="str">
        <f>HYPERLINK("https://pbs.twimg.com/ext_tw_video_thumb/1640364267462352896/pu/img/7K_1wnCdd6VJPZpr.jpg")</f>
        <v>https://pbs.twimg.com/ext_tw_video_thumb/1640364267462352896/pu/img/7K_1wnCdd6VJPZpr.jpg</v>
      </c>
      <c r="AW404" s="82" t="s">
        <v>4738</v>
      </c>
      <c r="AX404" s="82" t="s">
        <v>4738</v>
      </c>
      <c r="AY404" s="77"/>
      <c r="AZ404" s="82" t="s">
        <v>5615</v>
      </c>
      <c r="BA404" s="82" t="s">
        <v>5615</v>
      </c>
      <c r="BB404" s="82" t="s">
        <v>5615</v>
      </c>
      <c r="BC404" s="82" t="s">
        <v>4738</v>
      </c>
      <c r="BD404" s="82" t="s">
        <v>5988</v>
      </c>
      <c r="BE404" s="77"/>
      <c r="BF404" s="77"/>
      <c r="BG404" s="77"/>
      <c r="BH404" s="77"/>
      <c r="BI404" s="77"/>
    </row>
    <row r="405" spans="1:61" x14ac:dyDescent="0.25">
      <c r="A405" s="62" t="s">
        <v>409</v>
      </c>
      <c r="B405" s="62" t="s">
        <v>409</v>
      </c>
      <c r="C405" s="63"/>
      <c r="D405" s="64"/>
      <c r="E405" s="65"/>
      <c r="F405" s="66"/>
      <c r="G405" s="63"/>
      <c r="H405" s="67"/>
      <c r="I405" s="68"/>
      <c r="J405" s="68"/>
      <c r="K405" s="32"/>
      <c r="L405" s="75">
        <v>405</v>
      </c>
      <c r="M405" s="75"/>
      <c r="N405" s="70"/>
      <c r="O405" s="77" t="s">
        <v>179</v>
      </c>
      <c r="P405" s="79">
        <v>45141.659618055557</v>
      </c>
      <c r="Q405" s="77" t="s">
        <v>987</v>
      </c>
      <c r="R405" s="77">
        <v>0</v>
      </c>
      <c r="S405" s="77">
        <v>0</v>
      </c>
      <c r="T405" s="77">
        <v>0</v>
      </c>
      <c r="U405" s="77">
        <v>0</v>
      </c>
      <c r="V405" s="77">
        <v>2</v>
      </c>
      <c r="W405" s="82" t="s">
        <v>1809</v>
      </c>
      <c r="X405" s="77"/>
      <c r="Y405" s="77"/>
      <c r="Z405" s="77"/>
      <c r="AA405" s="77" t="s">
        <v>2485</v>
      </c>
      <c r="AB405" s="77" t="s">
        <v>2714</v>
      </c>
      <c r="AC405" s="82" t="s">
        <v>2722</v>
      </c>
      <c r="AD405" s="77" t="s">
        <v>2752</v>
      </c>
      <c r="AE405" s="80" t="str">
        <f>HYPERLINK("https://twitter.com/moneeynahora/status/1687128657372774402")</f>
        <v>https://twitter.com/moneeynahora/status/1687128657372774402</v>
      </c>
      <c r="AF405" s="79">
        <v>45141.659618055557</v>
      </c>
      <c r="AG405" s="85">
        <v>45141</v>
      </c>
      <c r="AH405" s="82" t="s">
        <v>3160</v>
      </c>
      <c r="AI405" s="77" t="b">
        <v>0</v>
      </c>
      <c r="AJ405" s="77"/>
      <c r="AK405" s="77"/>
      <c r="AL405" s="77"/>
      <c r="AM405" s="77"/>
      <c r="AN405" s="77"/>
      <c r="AO405" s="77"/>
      <c r="AP405" s="77"/>
      <c r="AQ405" s="77" t="s">
        <v>4111</v>
      </c>
      <c r="AR405" s="77"/>
      <c r="AS405" s="77"/>
      <c r="AT405" s="77"/>
      <c r="AU405" s="77"/>
      <c r="AV405" s="80" t="str">
        <f>HYPERLINK("https://pbs.twimg.com/media/F2niPtzW4AEJxQe.jpg")</f>
        <v>https://pbs.twimg.com/media/F2niPtzW4AEJxQe.jpg</v>
      </c>
      <c r="AW405" s="82" t="s">
        <v>4739</v>
      </c>
      <c r="AX405" s="82" t="s">
        <v>4739</v>
      </c>
      <c r="AY405" s="77"/>
      <c r="AZ405" s="82" t="s">
        <v>5615</v>
      </c>
      <c r="BA405" s="82" t="s">
        <v>5615</v>
      </c>
      <c r="BB405" s="82" t="s">
        <v>5615</v>
      </c>
      <c r="BC405" s="82" t="s">
        <v>4739</v>
      </c>
      <c r="BD405" s="82" t="s">
        <v>5989</v>
      </c>
      <c r="BE405" s="77"/>
      <c r="BF405" s="77"/>
      <c r="BG405" s="77"/>
      <c r="BH405" s="77"/>
      <c r="BI405" s="77"/>
    </row>
    <row r="406" spans="1:61" x14ac:dyDescent="0.25">
      <c r="A406" s="62" t="s">
        <v>410</v>
      </c>
      <c r="B406" s="62" t="s">
        <v>410</v>
      </c>
      <c r="C406" s="63"/>
      <c r="D406" s="64"/>
      <c r="E406" s="65"/>
      <c r="F406" s="66"/>
      <c r="G406" s="63"/>
      <c r="H406" s="67"/>
      <c r="I406" s="68"/>
      <c r="J406" s="68"/>
      <c r="K406" s="32"/>
      <c r="L406" s="75">
        <v>406</v>
      </c>
      <c r="M406" s="75"/>
      <c r="N406" s="70"/>
      <c r="O406" s="77" t="s">
        <v>583</v>
      </c>
      <c r="P406" s="79">
        <v>45077.665613425925</v>
      </c>
      <c r="Q406" s="77" t="s">
        <v>988</v>
      </c>
      <c r="R406" s="77">
        <v>0</v>
      </c>
      <c r="S406" s="77">
        <v>0</v>
      </c>
      <c r="T406" s="77">
        <v>0</v>
      </c>
      <c r="U406" s="77">
        <v>0</v>
      </c>
      <c r="V406" s="77">
        <v>19</v>
      </c>
      <c r="W406" s="82" t="s">
        <v>1810</v>
      </c>
      <c r="X406" s="77"/>
      <c r="Y406" s="77"/>
      <c r="Z406" s="77"/>
      <c r="AA406" s="77"/>
      <c r="AB406" s="77"/>
      <c r="AC406" s="82" t="s">
        <v>2719</v>
      </c>
      <c r="AD406" s="77" t="s">
        <v>2756</v>
      </c>
      <c r="AE406" s="80" t="str">
        <f>HYPERLINK("https://twitter.com/_oiisaias/status/1663938004405170176")</f>
        <v>https://twitter.com/_oiisaias/status/1663938004405170176</v>
      </c>
      <c r="AF406" s="79">
        <v>45077.665613425925</v>
      </c>
      <c r="AG406" s="85">
        <v>45077</v>
      </c>
      <c r="AH406" s="82" t="s">
        <v>3161</v>
      </c>
      <c r="AI406" s="77"/>
      <c r="AJ406" s="77"/>
      <c r="AK406" s="77"/>
      <c r="AL406" s="77"/>
      <c r="AM406" s="77"/>
      <c r="AN406" s="77"/>
      <c r="AO406" s="77"/>
      <c r="AP406" s="77"/>
      <c r="AQ406" s="77"/>
      <c r="AR406" s="77"/>
      <c r="AS406" s="77"/>
      <c r="AT406" s="77"/>
      <c r="AU406" s="77"/>
      <c r="AV406" s="80" t="str">
        <f>HYPERLINK("https://pbs.twimg.com/profile_images/1635068222520082433/XJfmiY0Q_normal.jpg")</f>
        <v>https://pbs.twimg.com/profile_images/1635068222520082433/XJfmiY0Q_normal.jpg</v>
      </c>
      <c r="AW406" s="82" t="s">
        <v>4740</v>
      </c>
      <c r="AX406" s="82" t="s">
        <v>5341</v>
      </c>
      <c r="AY406" s="82" t="s">
        <v>5595</v>
      </c>
      <c r="AZ406" s="82" t="s">
        <v>5630</v>
      </c>
      <c r="BA406" s="82" t="s">
        <v>5615</v>
      </c>
      <c r="BB406" s="82" t="s">
        <v>5615</v>
      </c>
      <c r="BC406" s="82" t="s">
        <v>5630</v>
      </c>
      <c r="BD406" s="82" t="s">
        <v>5595</v>
      </c>
      <c r="BE406" s="77"/>
      <c r="BF406" s="77"/>
      <c r="BG406" s="77"/>
      <c r="BH406" s="77"/>
      <c r="BI406" s="77"/>
    </row>
    <row r="407" spans="1:61" x14ac:dyDescent="0.25">
      <c r="A407" s="62" t="s">
        <v>411</v>
      </c>
      <c r="B407" s="62" t="s">
        <v>411</v>
      </c>
      <c r="C407" s="63"/>
      <c r="D407" s="64"/>
      <c r="E407" s="65"/>
      <c r="F407" s="66"/>
      <c r="G407" s="63"/>
      <c r="H407" s="67"/>
      <c r="I407" s="68"/>
      <c r="J407" s="68"/>
      <c r="K407" s="32"/>
      <c r="L407" s="75">
        <v>407</v>
      </c>
      <c r="M407" s="75"/>
      <c r="N407" s="70"/>
      <c r="O407" s="77" t="s">
        <v>179</v>
      </c>
      <c r="P407" s="79">
        <v>45075.795023148145</v>
      </c>
      <c r="Q407" s="77" t="s">
        <v>989</v>
      </c>
      <c r="R407" s="77">
        <v>0</v>
      </c>
      <c r="S407" s="77">
        <v>0</v>
      </c>
      <c r="T407" s="77">
        <v>0</v>
      </c>
      <c r="U407" s="77">
        <v>0</v>
      </c>
      <c r="V407" s="77">
        <v>8</v>
      </c>
      <c r="W407" s="82" t="s">
        <v>1725</v>
      </c>
      <c r="X407" s="77"/>
      <c r="Y407" s="77"/>
      <c r="Z407" s="77"/>
      <c r="AA407" s="77" t="s">
        <v>2486</v>
      </c>
      <c r="AB407" s="77" t="s">
        <v>2714</v>
      </c>
      <c r="AC407" s="82" t="s">
        <v>2722</v>
      </c>
      <c r="AD407" s="77" t="s">
        <v>2752</v>
      </c>
      <c r="AE407" s="80" t="str">
        <f>HYPERLINK("https://twitter.com/netorebello1/status/1663260127120568320")</f>
        <v>https://twitter.com/netorebello1/status/1663260127120568320</v>
      </c>
      <c r="AF407" s="79">
        <v>45075.795023148145</v>
      </c>
      <c r="AG407" s="85">
        <v>45075</v>
      </c>
      <c r="AH407" s="82" t="s">
        <v>3162</v>
      </c>
      <c r="AI407" s="77" t="b">
        <v>0</v>
      </c>
      <c r="AJ407" s="77"/>
      <c r="AK407" s="77"/>
      <c r="AL407" s="77"/>
      <c r="AM407" s="77"/>
      <c r="AN407" s="77"/>
      <c r="AO407" s="77"/>
      <c r="AP407" s="77"/>
      <c r="AQ407" s="77" t="s">
        <v>4112</v>
      </c>
      <c r="AR407" s="77"/>
      <c r="AS407" s="77"/>
      <c r="AT407" s="77"/>
      <c r="AU407" s="77"/>
      <c r="AV407" s="80" t="str">
        <f>HYPERLINK("https://pbs.twimg.com/media/FxUWQLdWwAgA2-u.jpg")</f>
        <v>https://pbs.twimg.com/media/FxUWQLdWwAgA2-u.jpg</v>
      </c>
      <c r="AW407" s="82" t="s">
        <v>4741</v>
      </c>
      <c r="AX407" s="82" t="s">
        <v>4741</v>
      </c>
      <c r="AY407" s="77"/>
      <c r="AZ407" s="82" t="s">
        <v>5615</v>
      </c>
      <c r="BA407" s="82" t="s">
        <v>5615</v>
      </c>
      <c r="BB407" s="82" t="s">
        <v>5615</v>
      </c>
      <c r="BC407" s="82" t="s">
        <v>4741</v>
      </c>
      <c r="BD407" s="82" t="s">
        <v>5990</v>
      </c>
      <c r="BE407" s="77"/>
      <c r="BF407" s="77"/>
      <c r="BG407" s="77"/>
      <c r="BH407" s="77"/>
      <c r="BI407" s="77"/>
    </row>
    <row r="408" spans="1:61" x14ac:dyDescent="0.25">
      <c r="A408" s="62" t="s">
        <v>412</v>
      </c>
      <c r="B408" s="62" t="s">
        <v>412</v>
      </c>
      <c r="C408" s="63"/>
      <c r="D408" s="64"/>
      <c r="E408" s="65"/>
      <c r="F408" s="66"/>
      <c r="G408" s="63"/>
      <c r="H408" s="67"/>
      <c r="I408" s="68"/>
      <c r="J408" s="68"/>
      <c r="K408" s="32"/>
      <c r="L408" s="75">
        <v>408</v>
      </c>
      <c r="M408" s="75"/>
      <c r="N408" s="70"/>
      <c r="O408" s="77" t="s">
        <v>179</v>
      </c>
      <c r="P408" s="79">
        <v>44994.761493055557</v>
      </c>
      <c r="Q408" s="77" t="s">
        <v>990</v>
      </c>
      <c r="R408" s="77">
        <v>0</v>
      </c>
      <c r="S408" s="77">
        <v>1</v>
      </c>
      <c r="T408" s="77">
        <v>0</v>
      </c>
      <c r="U408" s="77">
        <v>0</v>
      </c>
      <c r="V408" s="77">
        <v>16</v>
      </c>
      <c r="W408" s="82" t="s">
        <v>1811</v>
      </c>
      <c r="X408" s="77"/>
      <c r="Y408" s="77"/>
      <c r="Z408" s="77"/>
      <c r="AA408" s="77" t="s">
        <v>2487</v>
      </c>
      <c r="AB408" s="77" t="s">
        <v>2713</v>
      </c>
      <c r="AC408" s="82" t="s">
        <v>2719</v>
      </c>
      <c r="AD408" s="77" t="s">
        <v>2752</v>
      </c>
      <c r="AE408" s="80" t="str">
        <f>HYPERLINK("https://twitter.com/esp_de_negocios/status/1633894556390309909")</f>
        <v>https://twitter.com/esp_de_negocios/status/1633894556390309909</v>
      </c>
      <c r="AF408" s="79">
        <v>44994.761493055557</v>
      </c>
      <c r="AG408" s="85">
        <v>44994</v>
      </c>
      <c r="AH408" s="82" t="s">
        <v>3163</v>
      </c>
      <c r="AI408" s="77" t="b">
        <v>0</v>
      </c>
      <c r="AJ408" s="77"/>
      <c r="AK408" s="77"/>
      <c r="AL408" s="77"/>
      <c r="AM408" s="77"/>
      <c r="AN408" s="77"/>
      <c r="AO408" s="77"/>
      <c r="AP408" s="77"/>
      <c r="AQ408" s="77" t="s">
        <v>4113</v>
      </c>
      <c r="AR408" s="77">
        <v>7633</v>
      </c>
      <c r="AS408" s="77"/>
      <c r="AT408" s="77"/>
      <c r="AU408" s="77"/>
      <c r="AV408" s="80" t="str">
        <f>HYPERLINK("https://pbs.twimg.com/ext_tw_video_thumb/1633894517173567492/pu/img/xl4L4s9yS8V98gEc.jpg")</f>
        <v>https://pbs.twimg.com/ext_tw_video_thumb/1633894517173567492/pu/img/xl4L4s9yS8V98gEc.jpg</v>
      </c>
      <c r="AW408" s="82" t="s">
        <v>4742</v>
      </c>
      <c r="AX408" s="82" t="s">
        <v>4742</v>
      </c>
      <c r="AY408" s="77"/>
      <c r="AZ408" s="82" t="s">
        <v>5615</v>
      </c>
      <c r="BA408" s="82" t="s">
        <v>5615</v>
      </c>
      <c r="BB408" s="82" t="s">
        <v>5615</v>
      </c>
      <c r="BC408" s="82" t="s">
        <v>4742</v>
      </c>
      <c r="BD408" s="82" t="s">
        <v>5991</v>
      </c>
      <c r="BE408" s="77"/>
      <c r="BF408" s="77"/>
      <c r="BG408" s="77"/>
      <c r="BH408" s="77"/>
      <c r="BI408" s="77"/>
    </row>
    <row r="409" spans="1:61" x14ac:dyDescent="0.25">
      <c r="A409" s="62" t="s">
        <v>412</v>
      </c>
      <c r="B409" s="62" t="s">
        <v>412</v>
      </c>
      <c r="C409" s="63"/>
      <c r="D409" s="64"/>
      <c r="E409" s="65"/>
      <c r="F409" s="66"/>
      <c r="G409" s="63"/>
      <c r="H409" s="67"/>
      <c r="I409" s="68"/>
      <c r="J409" s="68"/>
      <c r="K409" s="32"/>
      <c r="L409" s="75">
        <v>409</v>
      </c>
      <c r="M409" s="75"/>
      <c r="N409" s="70"/>
      <c r="O409" s="77" t="s">
        <v>179</v>
      </c>
      <c r="P409" s="79">
        <v>44992.95453703704</v>
      </c>
      <c r="Q409" s="77" t="s">
        <v>991</v>
      </c>
      <c r="R409" s="77">
        <v>0</v>
      </c>
      <c r="S409" s="77">
        <v>2</v>
      </c>
      <c r="T409" s="77">
        <v>0</v>
      </c>
      <c r="U409" s="77">
        <v>0</v>
      </c>
      <c r="V409" s="77">
        <v>12</v>
      </c>
      <c r="W409" s="82" t="s">
        <v>1812</v>
      </c>
      <c r="X409" s="77"/>
      <c r="Y409" s="77"/>
      <c r="Z409" s="77"/>
      <c r="AA409" s="77" t="s">
        <v>2488</v>
      </c>
      <c r="AB409" s="77" t="s">
        <v>2713</v>
      </c>
      <c r="AC409" s="82" t="s">
        <v>2719</v>
      </c>
      <c r="AD409" s="77" t="s">
        <v>2752</v>
      </c>
      <c r="AE409" s="80" t="str">
        <f>HYPERLINK("https://twitter.com/esp_de_negocios/status/1633239738508296192")</f>
        <v>https://twitter.com/esp_de_negocios/status/1633239738508296192</v>
      </c>
      <c r="AF409" s="79">
        <v>44992.95453703704</v>
      </c>
      <c r="AG409" s="85">
        <v>44992</v>
      </c>
      <c r="AH409" s="82" t="s">
        <v>3164</v>
      </c>
      <c r="AI409" s="77" t="b">
        <v>0</v>
      </c>
      <c r="AJ409" s="77"/>
      <c r="AK409" s="77"/>
      <c r="AL409" s="77"/>
      <c r="AM409" s="77"/>
      <c r="AN409" s="77"/>
      <c r="AO409" s="77"/>
      <c r="AP409" s="77"/>
      <c r="AQ409" s="77" t="s">
        <v>4114</v>
      </c>
      <c r="AR409" s="77">
        <v>16800</v>
      </c>
      <c r="AS409" s="77"/>
      <c r="AT409" s="77"/>
      <c r="AU409" s="77"/>
      <c r="AV409" s="80" t="str">
        <f>HYPERLINK("https://pbs.twimg.com/ext_tw_video_thumb/1633239675522412544/pu/img/_UeumRQCoKAhMIxO.jpg")</f>
        <v>https://pbs.twimg.com/ext_tw_video_thumb/1633239675522412544/pu/img/_UeumRQCoKAhMIxO.jpg</v>
      </c>
      <c r="AW409" s="82" t="s">
        <v>4743</v>
      </c>
      <c r="AX409" s="82" t="s">
        <v>4743</v>
      </c>
      <c r="AY409" s="77"/>
      <c r="AZ409" s="82" t="s">
        <v>5615</v>
      </c>
      <c r="BA409" s="82" t="s">
        <v>5615</v>
      </c>
      <c r="BB409" s="82" t="s">
        <v>5615</v>
      </c>
      <c r="BC409" s="82" t="s">
        <v>4743</v>
      </c>
      <c r="BD409" s="82" t="s">
        <v>5991</v>
      </c>
      <c r="BE409" s="77"/>
      <c r="BF409" s="77"/>
      <c r="BG409" s="77"/>
      <c r="BH409" s="77"/>
      <c r="BI409" s="77"/>
    </row>
    <row r="410" spans="1:61" x14ac:dyDescent="0.25">
      <c r="A410" s="62" t="s">
        <v>412</v>
      </c>
      <c r="B410" s="62" t="s">
        <v>412</v>
      </c>
      <c r="C410" s="63"/>
      <c r="D410" s="64"/>
      <c r="E410" s="65"/>
      <c r="F410" s="66"/>
      <c r="G410" s="63"/>
      <c r="H410" s="67"/>
      <c r="I410" s="68"/>
      <c r="J410" s="68"/>
      <c r="K410" s="32"/>
      <c r="L410" s="75">
        <v>410</v>
      </c>
      <c r="M410" s="75"/>
      <c r="N410" s="70"/>
      <c r="O410" s="77" t="s">
        <v>179</v>
      </c>
      <c r="P410" s="79">
        <v>44993.825208333335</v>
      </c>
      <c r="Q410" s="77" t="s">
        <v>992</v>
      </c>
      <c r="R410" s="77">
        <v>0</v>
      </c>
      <c r="S410" s="77">
        <v>2</v>
      </c>
      <c r="T410" s="77">
        <v>0</v>
      </c>
      <c r="U410" s="77">
        <v>0</v>
      </c>
      <c r="V410" s="77">
        <v>16</v>
      </c>
      <c r="W410" s="82" t="s">
        <v>1813</v>
      </c>
      <c r="X410" s="77"/>
      <c r="Y410" s="77"/>
      <c r="Z410" s="77"/>
      <c r="AA410" s="77" t="s">
        <v>2489</v>
      </c>
      <c r="AB410" s="77" t="s">
        <v>2713</v>
      </c>
      <c r="AC410" s="82" t="s">
        <v>2719</v>
      </c>
      <c r="AD410" s="77" t="s">
        <v>2752</v>
      </c>
      <c r="AE410" s="80" t="str">
        <f>HYPERLINK("https://twitter.com/esp_de_negocios/status/1633555257622929410")</f>
        <v>https://twitter.com/esp_de_negocios/status/1633555257622929410</v>
      </c>
      <c r="AF410" s="79">
        <v>44993.825208333335</v>
      </c>
      <c r="AG410" s="85">
        <v>44993</v>
      </c>
      <c r="AH410" s="82" t="s">
        <v>3165</v>
      </c>
      <c r="AI410" s="77" t="b">
        <v>0</v>
      </c>
      <c r="AJ410" s="77"/>
      <c r="AK410" s="77"/>
      <c r="AL410" s="77"/>
      <c r="AM410" s="77"/>
      <c r="AN410" s="77"/>
      <c r="AO410" s="77"/>
      <c r="AP410" s="77"/>
      <c r="AQ410" s="77" t="s">
        <v>4115</v>
      </c>
      <c r="AR410" s="77">
        <v>8600</v>
      </c>
      <c r="AS410" s="77"/>
      <c r="AT410" s="77"/>
      <c r="AU410" s="77"/>
      <c r="AV410" s="80" t="str">
        <f>HYPERLINK("https://pbs.twimg.com/ext_tw_video_thumb/1633555207278800899/pu/img/HpXLpdwZvyqomRHn.jpg")</f>
        <v>https://pbs.twimg.com/ext_tw_video_thumb/1633555207278800899/pu/img/HpXLpdwZvyqomRHn.jpg</v>
      </c>
      <c r="AW410" s="82" t="s">
        <v>4744</v>
      </c>
      <c r="AX410" s="82" t="s">
        <v>4744</v>
      </c>
      <c r="AY410" s="77"/>
      <c r="AZ410" s="82" t="s">
        <v>5615</v>
      </c>
      <c r="BA410" s="82" t="s">
        <v>5615</v>
      </c>
      <c r="BB410" s="82" t="s">
        <v>5615</v>
      </c>
      <c r="BC410" s="82" t="s">
        <v>4744</v>
      </c>
      <c r="BD410" s="82" t="s">
        <v>5991</v>
      </c>
      <c r="BE410" s="77"/>
      <c r="BF410" s="77"/>
      <c r="BG410" s="77"/>
      <c r="BH410" s="77"/>
      <c r="BI410" s="77"/>
    </row>
    <row r="411" spans="1:61" x14ac:dyDescent="0.25">
      <c r="A411" s="62" t="s">
        <v>412</v>
      </c>
      <c r="B411" s="62" t="s">
        <v>412</v>
      </c>
      <c r="C411" s="63"/>
      <c r="D411" s="64"/>
      <c r="E411" s="65"/>
      <c r="F411" s="66"/>
      <c r="G411" s="63"/>
      <c r="H411" s="67"/>
      <c r="I411" s="68"/>
      <c r="J411" s="68"/>
      <c r="K411" s="32"/>
      <c r="L411" s="75">
        <v>411</v>
      </c>
      <c r="M411" s="75"/>
      <c r="N411" s="70"/>
      <c r="O411" s="77" t="s">
        <v>179</v>
      </c>
      <c r="P411" s="79">
        <v>44993.824826388889</v>
      </c>
      <c r="Q411" s="77" t="s">
        <v>993</v>
      </c>
      <c r="R411" s="77">
        <v>0</v>
      </c>
      <c r="S411" s="77">
        <v>1</v>
      </c>
      <c r="T411" s="77">
        <v>0</v>
      </c>
      <c r="U411" s="77">
        <v>0</v>
      </c>
      <c r="V411" s="77">
        <v>19</v>
      </c>
      <c r="W411" s="82" t="s">
        <v>1814</v>
      </c>
      <c r="X411" s="77"/>
      <c r="Y411" s="77"/>
      <c r="Z411" s="77"/>
      <c r="AA411" s="77" t="s">
        <v>2490</v>
      </c>
      <c r="AB411" s="77" t="s">
        <v>2713</v>
      </c>
      <c r="AC411" s="82" t="s">
        <v>2719</v>
      </c>
      <c r="AD411" s="77" t="s">
        <v>2752</v>
      </c>
      <c r="AE411" s="80" t="str">
        <f>HYPERLINK("https://twitter.com/esp_de_negocios/status/1633555122033655809")</f>
        <v>https://twitter.com/esp_de_negocios/status/1633555122033655809</v>
      </c>
      <c r="AF411" s="79">
        <v>44993.824826388889</v>
      </c>
      <c r="AG411" s="85">
        <v>44993</v>
      </c>
      <c r="AH411" s="82" t="s">
        <v>3166</v>
      </c>
      <c r="AI411" s="77" t="b">
        <v>0</v>
      </c>
      <c r="AJ411" s="77"/>
      <c r="AK411" s="77"/>
      <c r="AL411" s="77"/>
      <c r="AM411" s="77"/>
      <c r="AN411" s="77"/>
      <c r="AO411" s="77"/>
      <c r="AP411" s="77"/>
      <c r="AQ411" s="77" t="s">
        <v>4116</v>
      </c>
      <c r="AR411" s="77">
        <v>25400</v>
      </c>
      <c r="AS411" s="77"/>
      <c r="AT411" s="77"/>
      <c r="AU411" s="77"/>
      <c r="AV411" s="80" t="str">
        <f>HYPERLINK("https://pbs.twimg.com/ext_tw_video_thumb/1633555036419522561/pu/img/R0yBNobDAahtoQsp.jpg")</f>
        <v>https://pbs.twimg.com/ext_tw_video_thumb/1633555036419522561/pu/img/R0yBNobDAahtoQsp.jpg</v>
      </c>
      <c r="AW411" s="82" t="s">
        <v>4745</v>
      </c>
      <c r="AX411" s="82" t="s">
        <v>4745</v>
      </c>
      <c r="AY411" s="77"/>
      <c r="AZ411" s="82" t="s">
        <v>5615</v>
      </c>
      <c r="BA411" s="82" t="s">
        <v>5615</v>
      </c>
      <c r="BB411" s="82" t="s">
        <v>5615</v>
      </c>
      <c r="BC411" s="82" t="s">
        <v>4745</v>
      </c>
      <c r="BD411" s="82" t="s">
        <v>5991</v>
      </c>
      <c r="BE411" s="77"/>
      <c r="BF411" s="77"/>
      <c r="BG411" s="77"/>
      <c r="BH411" s="77"/>
      <c r="BI411" s="77"/>
    </row>
    <row r="412" spans="1:61" x14ac:dyDescent="0.25">
      <c r="A412" s="62" t="s">
        <v>413</v>
      </c>
      <c r="B412" s="62" t="s">
        <v>572</v>
      </c>
      <c r="C412" s="63"/>
      <c r="D412" s="64"/>
      <c r="E412" s="65"/>
      <c r="F412" s="66"/>
      <c r="G412" s="63"/>
      <c r="H412" s="67"/>
      <c r="I412" s="68"/>
      <c r="J412" s="68"/>
      <c r="K412" s="32"/>
      <c r="L412" s="75">
        <v>412</v>
      </c>
      <c r="M412" s="75"/>
      <c r="N412" s="70"/>
      <c r="O412" s="77" t="s">
        <v>586</v>
      </c>
      <c r="P412" s="79">
        <v>45187.511655092596</v>
      </c>
      <c r="Q412" s="77" t="s">
        <v>994</v>
      </c>
      <c r="R412" s="77">
        <v>0</v>
      </c>
      <c r="S412" s="77">
        <v>1</v>
      </c>
      <c r="T412" s="77">
        <v>0</v>
      </c>
      <c r="U412" s="77">
        <v>0</v>
      </c>
      <c r="V412" s="77">
        <v>134</v>
      </c>
      <c r="W412" s="82" t="s">
        <v>1815</v>
      </c>
      <c r="X412" s="77"/>
      <c r="Y412" s="77"/>
      <c r="Z412" s="77" t="s">
        <v>572</v>
      </c>
      <c r="AA412" s="77" t="s">
        <v>2491</v>
      </c>
      <c r="AB412" s="77" t="s">
        <v>2714</v>
      </c>
      <c r="AC412" s="82" t="s">
        <v>2722</v>
      </c>
      <c r="AD412" s="77" t="s">
        <v>2754</v>
      </c>
      <c r="AE412" s="80" t="str">
        <f>HYPERLINK("https://twitter.com/pawealthh/status/1703744879153594517")</f>
        <v>https://twitter.com/pawealthh/status/1703744879153594517</v>
      </c>
      <c r="AF412" s="79">
        <v>45187.511655092596</v>
      </c>
      <c r="AG412" s="85">
        <v>45187</v>
      </c>
      <c r="AH412" s="82" t="s">
        <v>3167</v>
      </c>
      <c r="AI412" s="77" t="b">
        <v>0</v>
      </c>
      <c r="AJ412" s="77"/>
      <c r="AK412" s="77"/>
      <c r="AL412" s="77"/>
      <c r="AM412" s="77"/>
      <c r="AN412" s="77"/>
      <c r="AO412" s="77"/>
      <c r="AP412" s="77"/>
      <c r="AQ412" s="77" t="s">
        <v>4117</v>
      </c>
      <c r="AR412" s="77"/>
      <c r="AS412" s="77"/>
      <c r="AT412" s="77"/>
      <c r="AU412" s="77"/>
      <c r="AV412" s="80" t="str">
        <f>HYPERLINK("https://pbs.twimg.com/media/F6Tq4PPXgAAmI_j.jpg")</f>
        <v>https://pbs.twimg.com/media/F6Tq4PPXgAAmI_j.jpg</v>
      </c>
      <c r="AW412" s="82" t="s">
        <v>4746</v>
      </c>
      <c r="AX412" s="82" t="s">
        <v>4746</v>
      </c>
      <c r="AY412" s="77"/>
      <c r="AZ412" s="82" t="s">
        <v>5615</v>
      </c>
      <c r="BA412" s="82" t="s">
        <v>5615</v>
      </c>
      <c r="BB412" s="82" t="s">
        <v>5615</v>
      </c>
      <c r="BC412" s="82" t="s">
        <v>4746</v>
      </c>
      <c r="BD412" s="77">
        <v>4674174732</v>
      </c>
      <c r="BE412" s="77"/>
      <c r="BF412" s="77"/>
      <c r="BG412" s="77"/>
      <c r="BH412" s="77"/>
      <c r="BI412" s="77"/>
    </row>
    <row r="413" spans="1:61" x14ac:dyDescent="0.25">
      <c r="A413" s="62" t="s">
        <v>414</v>
      </c>
      <c r="B413" s="62" t="s">
        <v>414</v>
      </c>
      <c r="C413" s="63"/>
      <c r="D413" s="64"/>
      <c r="E413" s="65"/>
      <c r="F413" s="66"/>
      <c r="G413" s="63"/>
      <c r="H413" s="67"/>
      <c r="I413" s="68"/>
      <c r="J413" s="68"/>
      <c r="K413" s="32"/>
      <c r="L413" s="75">
        <v>413</v>
      </c>
      <c r="M413" s="75"/>
      <c r="N413" s="70"/>
      <c r="O413" s="77" t="s">
        <v>179</v>
      </c>
      <c r="P413" s="79">
        <v>45024.373680555553</v>
      </c>
      <c r="Q413" s="77" t="s">
        <v>995</v>
      </c>
      <c r="R413" s="77">
        <v>0</v>
      </c>
      <c r="S413" s="77">
        <v>0</v>
      </c>
      <c r="T413" s="77">
        <v>0</v>
      </c>
      <c r="U413" s="77">
        <v>0</v>
      </c>
      <c r="V413" s="77">
        <v>2</v>
      </c>
      <c r="W413" s="82" t="s">
        <v>1816</v>
      </c>
      <c r="X413" s="80" t="str">
        <f>HYPERLINK("https://www.instagram.com/jornadadoestrangeiroinvestidor/")</f>
        <v>https://www.instagram.com/jornadadoestrangeiroinvestidor/</v>
      </c>
      <c r="Y413" s="77" t="s">
        <v>2130</v>
      </c>
      <c r="Z413" s="77"/>
      <c r="AA413" s="77" t="s">
        <v>2492</v>
      </c>
      <c r="AB413" s="77" t="s">
        <v>2714</v>
      </c>
      <c r="AC413" s="82" t="s">
        <v>2722</v>
      </c>
      <c r="AD413" s="77" t="s">
        <v>2752</v>
      </c>
      <c r="AE413" s="80" t="str">
        <f>HYPERLINK("https://twitter.com/estrang_invest/status/1644625653965238272")</f>
        <v>https://twitter.com/estrang_invest/status/1644625653965238272</v>
      </c>
      <c r="AF413" s="79">
        <v>45024.373680555553</v>
      </c>
      <c r="AG413" s="85">
        <v>45024</v>
      </c>
      <c r="AH413" s="82" t="s">
        <v>3168</v>
      </c>
      <c r="AI413" s="77" t="b">
        <v>0</v>
      </c>
      <c r="AJ413" s="77"/>
      <c r="AK413" s="77"/>
      <c r="AL413" s="77"/>
      <c r="AM413" s="77"/>
      <c r="AN413" s="77"/>
      <c r="AO413" s="77"/>
      <c r="AP413" s="77"/>
      <c r="AQ413" s="77" t="s">
        <v>4118</v>
      </c>
      <c r="AR413" s="77"/>
      <c r="AS413" s="77"/>
      <c r="AT413" s="77"/>
      <c r="AU413" s="77"/>
      <c r="AV413" s="80" t="str">
        <f>HYPERLINK("https://pbs.twimg.com/media/FtLh21vWYAEi45V.jpg")</f>
        <v>https://pbs.twimg.com/media/FtLh21vWYAEi45V.jpg</v>
      </c>
      <c r="AW413" s="82" t="s">
        <v>4747</v>
      </c>
      <c r="AX413" s="82" t="s">
        <v>4747</v>
      </c>
      <c r="AY413" s="77"/>
      <c r="AZ413" s="82" t="s">
        <v>5615</v>
      </c>
      <c r="BA413" s="82" t="s">
        <v>5615</v>
      </c>
      <c r="BB413" s="82" t="s">
        <v>5615</v>
      </c>
      <c r="BC413" s="82" t="s">
        <v>4747</v>
      </c>
      <c r="BD413" s="82" t="s">
        <v>5992</v>
      </c>
      <c r="BE413" s="77"/>
      <c r="BF413" s="77"/>
      <c r="BG413" s="77"/>
      <c r="BH413" s="77"/>
      <c r="BI413" s="77"/>
    </row>
    <row r="414" spans="1:61" x14ac:dyDescent="0.25">
      <c r="A414" s="62" t="s">
        <v>415</v>
      </c>
      <c r="B414" s="62" t="s">
        <v>415</v>
      </c>
      <c r="C414" s="63"/>
      <c r="D414" s="64"/>
      <c r="E414" s="65"/>
      <c r="F414" s="66"/>
      <c r="G414" s="63"/>
      <c r="H414" s="67"/>
      <c r="I414" s="68"/>
      <c r="J414" s="68"/>
      <c r="K414" s="32"/>
      <c r="L414" s="75">
        <v>414</v>
      </c>
      <c r="M414" s="75"/>
      <c r="N414" s="70"/>
      <c r="O414" s="77" t="s">
        <v>179</v>
      </c>
      <c r="P414" s="79">
        <v>45181.756435185183</v>
      </c>
      <c r="Q414" s="77" t="s">
        <v>996</v>
      </c>
      <c r="R414" s="77">
        <v>0</v>
      </c>
      <c r="S414" s="77">
        <v>0</v>
      </c>
      <c r="T414" s="77">
        <v>0</v>
      </c>
      <c r="U414" s="77">
        <v>0</v>
      </c>
      <c r="V414" s="77">
        <v>46</v>
      </c>
      <c r="W414" s="82" t="s">
        <v>1817</v>
      </c>
      <c r="X414" s="77"/>
      <c r="Y414" s="77"/>
      <c r="Z414" s="77"/>
      <c r="AA414" s="77" t="s">
        <v>2493</v>
      </c>
      <c r="AB414" s="77" t="s">
        <v>2713</v>
      </c>
      <c r="AC414" s="82" t="s">
        <v>2720</v>
      </c>
      <c r="AD414" s="77" t="s">
        <v>2752</v>
      </c>
      <c r="AE414" s="80" t="str">
        <f>HYPERLINK("https://twitter.com/pedromar1no/status/1701659257660207177")</f>
        <v>https://twitter.com/pedromar1no/status/1701659257660207177</v>
      </c>
      <c r="AF414" s="79">
        <v>45181.756435185183</v>
      </c>
      <c r="AG414" s="85">
        <v>45181</v>
      </c>
      <c r="AH414" s="82" t="s">
        <v>3169</v>
      </c>
      <c r="AI414" s="77" t="b">
        <v>0</v>
      </c>
      <c r="AJ414" s="77"/>
      <c r="AK414" s="77"/>
      <c r="AL414" s="77"/>
      <c r="AM414" s="77"/>
      <c r="AN414" s="77"/>
      <c r="AO414" s="77"/>
      <c r="AP414" s="77"/>
      <c r="AQ414" s="77" t="s">
        <v>4119</v>
      </c>
      <c r="AR414" s="77">
        <v>11966</v>
      </c>
      <c r="AS414" s="77"/>
      <c r="AT414" s="77"/>
      <c r="AU414" s="77"/>
      <c r="AV414" s="80" t="str">
        <f>HYPERLINK("https://pbs.twimg.com/ext_tw_video_thumb/1701659211258580992/pu/img/It1hpivwmUvGa2rX.jpg")</f>
        <v>https://pbs.twimg.com/ext_tw_video_thumb/1701659211258580992/pu/img/It1hpivwmUvGa2rX.jpg</v>
      </c>
      <c r="AW414" s="82" t="s">
        <v>4748</v>
      </c>
      <c r="AX414" s="82" t="s">
        <v>4748</v>
      </c>
      <c r="AY414" s="77"/>
      <c r="AZ414" s="82" t="s">
        <v>5615</v>
      </c>
      <c r="BA414" s="82" t="s">
        <v>5615</v>
      </c>
      <c r="BB414" s="82" t="s">
        <v>5615</v>
      </c>
      <c r="BC414" s="82" t="s">
        <v>4748</v>
      </c>
      <c r="BD414" s="82" t="s">
        <v>5993</v>
      </c>
      <c r="BE414" s="77"/>
      <c r="BF414" s="77"/>
      <c r="BG414" s="77"/>
      <c r="BH414" s="77"/>
      <c r="BI414" s="77"/>
    </row>
    <row r="415" spans="1:61" x14ac:dyDescent="0.25">
      <c r="A415" s="62" t="s">
        <v>416</v>
      </c>
      <c r="B415" s="62" t="s">
        <v>573</v>
      </c>
      <c r="C415" s="63"/>
      <c r="D415" s="64"/>
      <c r="E415" s="65"/>
      <c r="F415" s="66"/>
      <c r="G415" s="63"/>
      <c r="H415" s="67"/>
      <c r="I415" s="68"/>
      <c r="J415" s="68"/>
      <c r="K415" s="32"/>
      <c r="L415" s="75">
        <v>415</v>
      </c>
      <c r="M415" s="75"/>
      <c r="N415" s="70"/>
      <c r="O415" s="77" t="s">
        <v>586</v>
      </c>
      <c r="P415" s="79">
        <v>44965.973240740743</v>
      </c>
      <c r="Q415" s="77" t="s">
        <v>997</v>
      </c>
      <c r="R415" s="77">
        <v>0</v>
      </c>
      <c r="S415" s="77">
        <v>1</v>
      </c>
      <c r="T415" s="77">
        <v>0</v>
      </c>
      <c r="U415" s="77">
        <v>0</v>
      </c>
      <c r="V415" s="77">
        <v>19</v>
      </c>
      <c r="W415" s="82" t="s">
        <v>1818</v>
      </c>
      <c r="X415" s="80" t="str">
        <f>HYPERLINK("https://www.instagram.com/p/Coa265Wul6M/?igshid=YTgzYjQ4ZTY=")</f>
        <v>https://www.instagram.com/p/Coa265Wul6M/?igshid=YTgzYjQ4ZTY=</v>
      </c>
      <c r="Y415" s="77" t="s">
        <v>2130</v>
      </c>
      <c r="Z415" s="77" t="s">
        <v>573</v>
      </c>
      <c r="AA415" s="77"/>
      <c r="AB415" s="77"/>
      <c r="AC415" s="82" t="s">
        <v>2723</v>
      </c>
      <c r="AD415" s="77" t="s">
        <v>2752</v>
      </c>
      <c r="AE415" s="80" t="str">
        <f>HYPERLINK("https://twitter.com/poetisajoana/status/1623462042999947264")</f>
        <v>https://twitter.com/poetisajoana/status/1623462042999947264</v>
      </c>
      <c r="AF415" s="79">
        <v>44965.973240740743</v>
      </c>
      <c r="AG415" s="85">
        <v>44965</v>
      </c>
      <c r="AH415" s="82" t="s">
        <v>3170</v>
      </c>
      <c r="AI415" s="77" t="b">
        <v>0</v>
      </c>
      <c r="AJ415" s="77" t="s">
        <v>3744</v>
      </c>
      <c r="AK415" s="77" t="s">
        <v>3752</v>
      </c>
      <c r="AL415" s="77" t="s">
        <v>3755</v>
      </c>
      <c r="AM415" s="77" t="s">
        <v>3767</v>
      </c>
      <c r="AN415" s="77" t="s">
        <v>3784</v>
      </c>
      <c r="AO415" s="77" t="s">
        <v>3801</v>
      </c>
      <c r="AP415" s="77" t="s">
        <v>3808</v>
      </c>
      <c r="AQ415" s="77"/>
      <c r="AR415" s="77"/>
      <c r="AS415" s="77"/>
      <c r="AT415" s="77"/>
      <c r="AU415" s="77"/>
      <c r="AV415" s="80" t="str">
        <f>HYPERLINK("https://pbs.twimg.com/profile_images/1064212340822941697/4ExMwrT__normal.jpg")</f>
        <v>https://pbs.twimg.com/profile_images/1064212340822941697/4ExMwrT__normal.jpg</v>
      </c>
      <c r="AW415" s="82" t="s">
        <v>4749</v>
      </c>
      <c r="AX415" s="82" t="s">
        <v>4749</v>
      </c>
      <c r="AY415" s="77"/>
      <c r="AZ415" s="82" t="s">
        <v>5615</v>
      </c>
      <c r="BA415" s="82" t="s">
        <v>5615</v>
      </c>
      <c r="BB415" s="82" t="s">
        <v>5615</v>
      </c>
      <c r="BC415" s="82" t="s">
        <v>4749</v>
      </c>
      <c r="BD415" s="77">
        <v>99797001</v>
      </c>
      <c r="BE415" s="77"/>
      <c r="BF415" s="77"/>
      <c r="BG415" s="77"/>
      <c r="BH415" s="77"/>
      <c r="BI415" s="77"/>
    </row>
    <row r="416" spans="1:61" x14ac:dyDescent="0.25">
      <c r="A416" s="62" t="s">
        <v>417</v>
      </c>
      <c r="B416" s="62" t="s">
        <v>417</v>
      </c>
      <c r="C416" s="63"/>
      <c r="D416" s="64"/>
      <c r="E416" s="65"/>
      <c r="F416" s="66"/>
      <c r="G416" s="63"/>
      <c r="H416" s="67"/>
      <c r="I416" s="68"/>
      <c r="J416" s="68"/>
      <c r="K416" s="32"/>
      <c r="L416" s="75">
        <v>416</v>
      </c>
      <c r="M416" s="75"/>
      <c r="N416" s="70"/>
      <c r="O416" s="77" t="s">
        <v>179</v>
      </c>
      <c r="P416" s="79">
        <v>44951.830682870372</v>
      </c>
      <c r="Q416" s="77" t="s">
        <v>998</v>
      </c>
      <c r="R416" s="77">
        <v>0</v>
      </c>
      <c r="S416" s="77">
        <v>0</v>
      </c>
      <c r="T416" s="77">
        <v>0</v>
      </c>
      <c r="U416" s="77">
        <v>0</v>
      </c>
      <c r="V416" s="77">
        <v>38</v>
      </c>
      <c r="W416" s="82" t="s">
        <v>1819</v>
      </c>
      <c r="X416" s="80" t="str">
        <f>HYPERLINK("https://www.instagram.com/p/Cn2cTEVuUTJ/?igshid=YTgzYjQ4ZTY=")</f>
        <v>https://www.instagram.com/p/Cn2cTEVuUTJ/?igshid=YTgzYjQ4ZTY=</v>
      </c>
      <c r="Y416" s="77" t="s">
        <v>2130</v>
      </c>
      <c r="Z416" s="77"/>
      <c r="AA416" s="77"/>
      <c r="AB416" s="77"/>
      <c r="AC416" s="82" t="s">
        <v>2723</v>
      </c>
      <c r="AD416" s="77" t="s">
        <v>2752</v>
      </c>
      <c r="AE416" s="80" t="str">
        <f>HYPERLINK("https://twitter.com/raineliprado/status/1618336951035109377")</f>
        <v>https://twitter.com/raineliprado/status/1618336951035109377</v>
      </c>
      <c r="AF416" s="79">
        <v>44951.830682870372</v>
      </c>
      <c r="AG416" s="85">
        <v>44951</v>
      </c>
      <c r="AH416" s="82" t="s">
        <v>3171</v>
      </c>
      <c r="AI416" s="77" t="b">
        <v>0</v>
      </c>
      <c r="AJ416" s="77"/>
      <c r="AK416" s="77"/>
      <c r="AL416" s="77"/>
      <c r="AM416" s="77"/>
      <c r="AN416" s="77"/>
      <c r="AO416" s="77"/>
      <c r="AP416" s="77"/>
      <c r="AQ416" s="77"/>
      <c r="AR416" s="77"/>
      <c r="AS416" s="77"/>
      <c r="AT416" s="77"/>
      <c r="AU416" s="77"/>
      <c r="AV416" s="80" t="str">
        <f>HYPERLINK("https://pbs.twimg.com/profile_images/1692962620855250944/qollIU1y_normal.jpg")</f>
        <v>https://pbs.twimg.com/profile_images/1692962620855250944/qollIU1y_normal.jpg</v>
      </c>
      <c r="AW416" s="82" t="s">
        <v>4750</v>
      </c>
      <c r="AX416" s="82" t="s">
        <v>4750</v>
      </c>
      <c r="AY416" s="77"/>
      <c r="AZ416" s="82" t="s">
        <v>5615</v>
      </c>
      <c r="BA416" s="82" t="s">
        <v>5615</v>
      </c>
      <c r="BB416" s="82" t="s">
        <v>5615</v>
      </c>
      <c r="BC416" s="82" t="s">
        <v>4750</v>
      </c>
      <c r="BD416" s="82" t="s">
        <v>5994</v>
      </c>
      <c r="BE416" s="77"/>
      <c r="BF416" s="77"/>
      <c r="BG416" s="77"/>
      <c r="BH416" s="77"/>
      <c r="BI416" s="77"/>
    </row>
    <row r="417" spans="1:61" x14ac:dyDescent="0.25">
      <c r="A417" s="62" t="s">
        <v>418</v>
      </c>
      <c r="B417" s="62" t="s">
        <v>418</v>
      </c>
      <c r="C417" s="63"/>
      <c r="D417" s="64"/>
      <c r="E417" s="65"/>
      <c r="F417" s="66"/>
      <c r="G417" s="63"/>
      <c r="H417" s="67"/>
      <c r="I417" s="68"/>
      <c r="J417" s="68"/>
      <c r="K417" s="32"/>
      <c r="L417" s="75">
        <v>417</v>
      </c>
      <c r="M417" s="75"/>
      <c r="N417" s="70"/>
      <c r="O417" s="77" t="s">
        <v>179</v>
      </c>
      <c r="P417" s="79">
        <v>45109.666689814818</v>
      </c>
      <c r="Q417" s="77" t="s">
        <v>999</v>
      </c>
      <c r="R417" s="77">
        <v>0</v>
      </c>
      <c r="S417" s="77">
        <v>0</v>
      </c>
      <c r="T417" s="77">
        <v>0</v>
      </c>
      <c r="U417" s="77">
        <v>0</v>
      </c>
      <c r="V417" s="77">
        <v>19</v>
      </c>
      <c r="W417" s="82" t="s">
        <v>1820</v>
      </c>
      <c r="X417" s="77"/>
      <c r="Y417" s="77"/>
      <c r="Z417" s="77"/>
      <c r="AA417" s="77"/>
      <c r="AB417" s="77"/>
      <c r="AC417" s="82" t="s">
        <v>2722</v>
      </c>
      <c r="AD417" s="77" t="s">
        <v>2752</v>
      </c>
      <c r="AE417" s="80" t="str">
        <f>HYPERLINK("https://twitter.com/juliocrrf/status/1675534805797093376")</f>
        <v>https://twitter.com/juliocrrf/status/1675534805797093376</v>
      </c>
      <c r="AF417" s="79">
        <v>45109.666689814818</v>
      </c>
      <c r="AG417" s="85">
        <v>45109</v>
      </c>
      <c r="AH417" s="82" t="s">
        <v>3172</v>
      </c>
      <c r="AI417" s="77"/>
      <c r="AJ417" s="77"/>
      <c r="AK417" s="77"/>
      <c r="AL417" s="77"/>
      <c r="AM417" s="77"/>
      <c r="AN417" s="77"/>
      <c r="AO417" s="77"/>
      <c r="AP417" s="77"/>
      <c r="AQ417" s="77"/>
      <c r="AR417" s="77"/>
      <c r="AS417" s="77"/>
      <c r="AT417" s="77"/>
      <c r="AU417" s="77"/>
      <c r="AV417" s="80" t="str">
        <f>HYPERLINK("https://pbs.twimg.com/profile_images/1638555528002404354/zYyRgIoe_normal.jpg")</f>
        <v>https://pbs.twimg.com/profile_images/1638555528002404354/zYyRgIoe_normal.jpg</v>
      </c>
      <c r="AW417" s="82" t="s">
        <v>4751</v>
      </c>
      <c r="AX417" s="82" t="s">
        <v>4751</v>
      </c>
      <c r="AY417" s="77"/>
      <c r="AZ417" s="82" t="s">
        <v>5615</v>
      </c>
      <c r="BA417" s="82" t="s">
        <v>5615</v>
      </c>
      <c r="BB417" s="82" t="s">
        <v>5615</v>
      </c>
      <c r="BC417" s="82" t="s">
        <v>4751</v>
      </c>
      <c r="BD417" s="77">
        <v>4357245737</v>
      </c>
      <c r="BE417" s="77"/>
      <c r="BF417" s="77"/>
      <c r="BG417" s="77"/>
      <c r="BH417" s="77"/>
      <c r="BI417" s="77"/>
    </row>
    <row r="418" spans="1:61" x14ac:dyDescent="0.25">
      <c r="A418" s="62" t="s">
        <v>418</v>
      </c>
      <c r="B418" s="62" t="s">
        <v>418</v>
      </c>
      <c r="C418" s="63"/>
      <c r="D418" s="64"/>
      <c r="E418" s="65"/>
      <c r="F418" s="66"/>
      <c r="G418" s="63"/>
      <c r="H418" s="67"/>
      <c r="I418" s="68"/>
      <c r="J418" s="68"/>
      <c r="K418" s="32"/>
      <c r="L418" s="75">
        <v>418</v>
      </c>
      <c r="M418" s="75"/>
      <c r="N418" s="70"/>
      <c r="O418" s="77" t="s">
        <v>179</v>
      </c>
      <c r="P418" s="79">
        <v>45109.479861111111</v>
      </c>
      <c r="Q418" s="77" t="s">
        <v>1000</v>
      </c>
      <c r="R418" s="77">
        <v>0</v>
      </c>
      <c r="S418" s="77">
        <v>0</v>
      </c>
      <c r="T418" s="77">
        <v>0</v>
      </c>
      <c r="U418" s="77">
        <v>0</v>
      </c>
      <c r="V418" s="77">
        <v>17</v>
      </c>
      <c r="W418" s="82" t="s">
        <v>1821</v>
      </c>
      <c r="X418" s="77"/>
      <c r="Y418" s="77"/>
      <c r="Z418" s="77"/>
      <c r="AA418" s="77"/>
      <c r="AB418" s="77"/>
      <c r="AC418" s="82" t="s">
        <v>2722</v>
      </c>
      <c r="AD418" s="77" t="s">
        <v>2752</v>
      </c>
      <c r="AE418" s="80" t="str">
        <f>HYPERLINK("https://twitter.com/juliocrrf/status/1675467101233094657")</f>
        <v>https://twitter.com/juliocrrf/status/1675467101233094657</v>
      </c>
      <c r="AF418" s="79">
        <v>45109.479861111111</v>
      </c>
      <c r="AG418" s="85">
        <v>45109</v>
      </c>
      <c r="AH418" s="82" t="s">
        <v>3173</v>
      </c>
      <c r="AI418" s="77"/>
      <c r="AJ418" s="77"/>
      <c r="AK418" s="77"/>
      <c r="AL418" s="77"/>
      <c r="AM418" s="77"/>
      <c r="AN418" s="77"/>
      <c r="AO418" s="77"/>
      <c r="AP418" s="77"/>
      <c r="AQ418" s="77"/>
      <c r="AR418" s="77"/>
      <c r="AS418" s="77"/>
      <c r="AT418" s="77"/>
      <c r="AU418" s="77"/>
      <c r="AV418" s="80" t="str">
        <f>HYPERLINK("https://pbs.twimg.com/profile_images/1638555528002404354/zYyRgIoe_normal.jpg")</f>
        <v>https://pbs.twimg.com/profile_images/1638555528002404354/zYyRgIoe_normal.jpg</v>
      </c>
      <c r="AW418" s="82" t="s">
        <v>4752</v>
      </c>
      <c r="AX418" s="82" t="s">
        <v>4752</v>
      </c>
      <c r="AY418" s="77"/>
      <c r="AZ418" s="82" t="s">
        <v>5615</v>
      </c>
      <c r="BA418" s="82" t="s">
        <v>5615</v>
      </c>
      <c r="BB418" s="82" t="s">
        <v>5615</v>
      </c>
      <c r="BC418" s="82" t="s">
        <v>4752</v>
      </c>
      <c r="BD418" s="77">
        <v>4357245737</v>
      </c>
      <c r="BE418" s="77"/>
      <c r="BF418" s="77"/>
      <c r="BG418" s="77"/>
      <c r="BH418" s="77"/>
      <c r="BI418" s="77"/>
    </row>
    <row r="419" spans="1:61" x14ac:dyDescent="0.25">
      <c r="A419" s="62" t="s">
        <v>418</v>
      </c>
      <c r="B419" s="62" t="s">
        <v>418</v>
      </c>
      <c r="C419" s="63"/>
      <c r="D419" s="64"/>
      <c r="E419" s="65"/>
      <c r="F419" s="66"/>
      <c r="G419" s="63"/>
      <c r="H419" s="67"/>
      <c r="I419" s="68"/>
      <c r="J419" s="68"/>
      <c r="K419" s="32"/>
      <c r="L419" s="75">
        <v>419</v>
      </c>
      <c r="M419" s="75"/>
      <c r="N419" s="70"/>
      <c r="O419" s="77" t="s">
        <v>179</v>
      </c>
      <c r="P419" s="79">
        <v>45108.917361111111</v>
      </c>
      <c r="Q419" s="77" t="s">
        <v>1001</v>
      </c>
      <c r="R419" s="77">
        <v>0</v>
      </c>
      <c r="S419" s="77">
        <v>1</v>
      </c>
      <c r="T419" s="77">
        <v>0</v>
      </c>
      <c r="U419" s="77">
        <v>0</v>
      </c>
      <c r="V419" s="77">
        <v>17</v>
      </c>
      <c r="W419" s="82" t="s">
        <v>1822</v>
      </c>
      <c r="X419" s="77"/>
      <c r="Y419" s="77"/>
      <c r="Z419" s="77"/>
      <c r="AA419" s="77"/>
      <c r="AB419" s="77"/>
      <c r="AC419" s="82" t="s">
        <v>2722</v>
      </c>
      <c r="AD419" s="77" t="s">
        <v>2752</v>
      </c>
      <c r="AE419" s="80" t="str">
        <f>HYPERLINK("https://twitter.com/juliocrrf/status/1675263258037727232")</f>
        <v>https://twitter.com/juliocrrf/status/1675263258037727232</v>
      </c>
      <c r="AF419" s="79">
        <v>45108.917361111111</v>
      </c>
      <c r="AG419" s="85">
        <v>45108</v>
      </c>
      <c r="AH419" s="82" t="s">
        <v>3174</v>
      </c>
      <c r="AI419" s="77"/>
      <c r="AJ419" s="77"/>
      <c r="AK419" s="77"/>
      <c r="AL419" s="77"/>
      <c r="AM419" s="77"/>
      <c r="AN419" s="77"/>
      <c r="AO419" s="77"/>
      <c r="AP419" s="77"/>
      <c r="AQ419" s="77"/>
      <c r="AR419" s="77"/>
      <c r="AS419" s="77"/>
      <c r="AT419" s="77"/>
      <c r="AU419" s="77"/>
      <c r="AV419" s="80" t="str">
        <f>HYPERLINK("https://pbs.twimg.com/profile_images/1638555528002404354/zYyRgIoe_normal.jpg")</f>
        <v>https://pbs.twimg.com/profile_images/1638555528002404354/zYyRgIoe_normal.jpg</v>
      </c>
      <c r="AW419" s="82" t="s">
        <v>4753</v>
      </c>
      <c r="AX419" s="82" t="s">
        <v>4753</v>
      </c>
      <c r="AY419" s="77"/>
      <c r="AZ419" s="82" t="s">
        <v>5615</v>
      </c>
      <c r="BA419" s="82" t="s">
        <v>5615</v>
      </c>
      <c r="BB419" s="82" t="s">
        <v>5615</v>
      </c>
      <c r="BC419" s="82" t="s">
        <v>4753</v>
      </c>
      <c r="BD419" s="77">
        <v>4357245737</v>
      </c>
      <c r="BE419" s="77"/>
      <c r="BF419" s="77"/>
      <c r="BG419" s="77"/>
      <c r="BH419" s="77"/>
      <c r="BI419" s="77"/>
    </row>
    <row r="420" spans="1:61" x14ac:dyDescent="0.25">
      <c r="A420" s="62" t="s">
        <v>418</v>
      </c>
      <c r="B420" s="62" t="s">
        <v>418</v>
      </c>
      <c r="C420" s="63"/>
      <c r="D420" s="64"/>
      <c r="E420" s="65"/>
      <c r="F420" s="66"/>
      <c r="G420" s="63"/>
      <c r="H420" s="67"/>
      <c r="I420" s="68"/>
      <c r="J420" s="68"/>
      <c r="K420" s="32"/>
      <c r="L420" s="75">
        <v>420</v>
      </c>
      <c r="M420" s="75"/>
      <c r="N420" s="70"/>
      <c r="O420" s="77" t="s">
        <v>179</v>
      </c>
      <c r="P420" s="79">
        <v>45107.666678240741</v>
      </c>
      <c r="Q420" s="77" t="s">
        <v>1002</v>
      </c>
      <c r="R420" s="77">
        <v>0</v>
      </c>
      <c r="S420" s="77">
        <v>0</v>
      </c>
      <c r="T420" s="77">
        <v>0</v>
      </c>
      <c r="U420" s="77">
        <v>0</v>
      </c>
      <c r="V420" s="77">
        <v>17</v>
      </c>
      <c r="W420" s="82" t="s">
        <v>1823</v>
      </c>
      <c r="X420" s="77"/>
      <c r="Y420" s="77"/>
      <c r="Z420" s="77"/>
      <c r="AA420" s="77"/>
      <c r="AB420" s="77"/>
      <c r="AC420" s="82" t="s">
        <v>2722</v>
      </c>
      <c r="AD420" s="77" t="s">
        <v>2752</v>
      </c>
      <c r="AE420" s="80" t="str">
        <f>HYPERLINK("https://twitter.com/juliocrrf/status/1674810026408439808")</f>
        <v>https://twitter.com/juliocrrf/status/1674810026408439808</v>
      </c>
      <c r="AF420" s="79">
        <v>45107.666678240741</v>
      </c>
      <c r="AG420" s="85">
        <v>45107</v>
      </c>
      <c r="AH420" s="82" t="s">
        <v>3175</v>
      </c>
      <c r="AI420" s="77"/>
      <c r="AJ420" s="77"/>
      <c r="AK420" s="77"/>
      <c r="AL420" s="77"/>
      <c r="AM420" s="77"/>
      <c r="AN420" s="77"/>
      <c r="AO420" s="77"/>
      <c r="AP420" s="77"/>
      <c r="AQ420" s="77"/>
      <c r="AR420" s="77"/>
      <c r="AS420" s="77"/>
      <c r="AT420" s="77"/>
      <c r="AU420" s="77"/>
      <c r="AV420" s="80" t="str">
        <f>HYPERLINK("https://pbs.twimg.com/profile_images/1638555528002404354/zYyRgIoe_normal.jpg")</f>
        <v>https://pbs.twimg.com/profile_images/1638555528002404354/zYyRgIoe_normal.jpg</v>
      </c>
      <c r="AW420" s="82" t="s">
        <v>4754</v>
      </c>
      <c r="AX420" s="82" t="s">
        <v>4754</v>
      </c>
      <c r="AY420" s="77"/>
      <c r="AZ420" s="82" t="s">
        <v>5615</v>
      </c>
      <c r="BA420" s="82" t="s">
        <v>5615</v>
      </c>
      <c r="BB420" s="82" t="s">
        <v>5615</v>
      </c>
      <c r="BC420" s="82" t="s">
        <v>4754</v>
      </c>
      <c r="BD420" s="77">
        <v>4357245737</v>
      </c>
      <c r="BE420" s="77"/>
      <c r="BF420" s="77"/>
      <c r="BG420" s="77"/>
      <c r="BH420" s="77"/>
      <c r="BI420" s="77"/>
    </row>
    <row r="421" spans="1:61" x14ac:dyDescent="0.25">
      <c r="A421" s="62" t="s">
        <v>418</v>
      </c>
      <c r="B421" s="62" t="s">
        <v>418</v>
      </c>
      <c r="C421" s="63"/>
      <c r="D421" s="64"/>
      <c r="E421" s="65"/>
      <c r="F421" s="66"/>
      <c r="G421" s="63"/>
      <c r="H421" s="67"/>
      <c r="I421" s="68"/>
      <c r="J421" s="68"/>
      <c r="K421" s="32"/>
      <c r="L421" s="75">
        <v>421</v>
      </c>
      <c r="M421" s="75"/>
      <c r="N421" s="70"/>
      <c r="O421" s="77" t="s">
        <v>179</v>
      </c>
      <c r="P421" s="79">
        <v>45107.500011574077</v>
      </c>
      <c r="Q421" s="77" t="s">
        <v>1003</v>
      </c>
      <c r="R421" s="77">
        <v>0</v>
      </c>
      <c r="S421" s="77">
        <v>0</v>
      </c>
      <c r="T421" s="77">
        <v>0</v>
      </c>
      <c r="U421" s="77">
        <v>0</v>
      </c>
      <c r="V421" s="77">
        <v>17</v>
      </c>
      <c r="W421" s="82" t="s">
        <v>1824</v>
      </c>
      <c r="X421" s="77"/>
      <c r="Y421" s="77"/>
      <c r="Z421" s="77"/>
      <c r="AA421" s="77"/>
      <c r="AB421" s="77"/>
      <c r="AC421" s="82" t="s">
        <v>2722</v>
      </c>
      <c r="AD421" s="77" t="s">
        <v>2752</v>
      </c>
      <c r="AE421" s="80" t="str">
        <f>HYPERLINK("https://twitter.com/juliocrrf/status/1674749627378049025")</f>
        <v>https://twitter.com/juliocrrf/status/1674749627378049025</v>
      </c>
      <c r="AF421" s="79">
        <v>45107.500011574077</v>
      </c>
      <c r="AG421" s="85">
        <v>45107</v>
      </c>
      <c r="AH421" s="82" t="s">
        <v>2816</v>
      </c>
      <c r="AI421" s="77"/>
      <c r="AJ421" s="77"/>
      <c r="AK421" s="77"/>
      <c r="AL421" s="77"/>
      <c r="AM421" s="77"/>
      <c r="AN421" s="77"/>
      <c r="AO421" s="77"/>
      <c r="AP421" s="77"/>
      <c r="AQ421" s="77"/>
      <c r="AR421" s="77"/>
      <c r="AS421" s="77"/>
      <c r="AT421" s="77"/>
      <c r="AU421" s="77"/>
      <c r="AV421" s="80" t="str">
        <f>HYPERLINK("https://pbs.twimg.com/profile_images/1638555528002404354/zYyRgIoe_normal.jpg")</f>
        <v>https://pbs.twimg.com/profile_images/1638555528002404354/zYyRgIoe_normal.jpg</v>
      </c>
      <c r="AW421" s="82" t="s">
        <v>4755</v>
      </c>
      <c r="AX421" s="82" t="s">
        <v>4755</v>
      </c>
      <c r="AY421" s="77"/>
      <c r="AZ421" s="82" t="s">
        <v>5615</v>
      </c>
      <c r="BA421" s="82" t="s">
        <v>5615</v>
      </c>
      <c r="BB421" s="82" t="s">
        <v>5615</v>
      </c>
      <c r="BC421" s="82" t="s">
        <v>4755</v>
      </c>
      <c r="BD421" s="77">
        <v>4357245737</v>
      </c>
      <c r="BE421" s="77"/>
      <c r="BF421" s="77"/>
      <c r="BG421" s="77"/>
      <c r="BH421" s="77"/>
      <c r="BI421" s="77"/>
    </row>
    <row r="422" spans="1:61" x14ac:dyDescent="0.25">
      <c r="A422" s="62" t="s">
        <v>418</v>
      </c>
      <c r="B422" s="62" t="s">
        <v>418</v>
      </c>
      <c r="C422" s="63"/>
      <c r="D422" s="64"/>
      <c r="E422" s="65"/>
      <c r="F422" s="66"/>
      <c r="G422" s="63"/>
      <c r="H422" s="67"/>
      <c r="I422" s="68"/>
      <c r="J422" s="68"/>
      <c r="K422" s="32"/>
      <c r="L422" s="75">
        <v>422</v>
      </c>
      <c r="M422" s="75"/>
      <c r="N422" s="70"/>
      <c r="O422" s="77" t="s">
        <v>179</v>
      </c>
      <c r="P422" s="79">
        <v>45106.931944444441</v>
      </c>
      <c r="Q422" s="77" t="s">
        <v>1004</v>
      </c>
      <c r="R422" s="77">
        <v>0</v>
      </c>
      <c r="S422" s="77">
        <v>0</v>
      </c>
      <c r="T422" s="77">
        <v>1</v>
      </c>
      <c r="U422" s="77">
        <v>0</v>
      </c>
      <c r="V422" s="77">
        <v>10</v>
      </c>
      <c r="W422" s="82" t="s">
        <v>1825</v>
      </c>
      <c r="X422" s="77"/>
      <c r="Y422" s="77"/>
      <c r="Z422" s="77"/>
      <c r="AA422" s="77"/>
      <c r="AB422" s="77"/>
      <c r="AC422" s="82" t="s">
        <v>2722</v>
      </c>
      <c r="AD422" s="77" t="s">
        <v>2752</v>
      </c>
      <c r="AE422" s="80" t="str">
        <f>HYPERLINK("https://twitter.com/juliocrrf/status/1674543766986801152")</f>
        <v>https://twitter.com/juliocrrf/status/1674543766986801152</v>
      </c>
      <c r="AF422" s="79">
        <v>45106.931944444441</v>
      </c>
      <c r="AG422" s="85">
        <v>45106</v>
      </c>
      <c r="AH422" s="82" t="s">
        <v>3176</v>
      </c>
      <c r="AI422" s="77"/>
      <c r="AJ422" s="77"/>
      <c r="AK422" s="77"/>
      <c r="AL422" s="77"/>
      <c r="AM422" s="77"/>
      <c r="AN422" s="77"/>
      <c r="AO422" s="77"/>
      <c r="AP422" s="77"/>
      <c r="AQ422" s="77"/>
      <c r="AR422" s="77"/>
      <c r="AS422" s="77"/>
      <c r="AT422" s="77"/>
      <c r="AU422" s="77"/>
      <c r="AV422" s="80" t="str">
        <f>HYPERLINK("https://pbs.twimg.com/profile_images/1638555528002404354/zYyRgIoe_normal.jpg")</f>
        <v>https://pbs.twimg.com/profile_images/1638555528002404354/zYyRgIoe_normal.jpg</v>
      </c>
      <c r="AW422" s="82" t="s">
        <v>4756</v>
      </c>
      <c r="AX422" s="82" t="s">
        <v>4756</v>
      </c>
      <c r="AY422" s="77"/>
      <c r="AZ422" s="82" t="s">
        <v>5615</v>
      </c>
      <c r="BA422" s="82" t="s">
        <v>5615</v>
      </c>
      <c r="BB422" s="82" t="s">
        <v>5615</v>
      </c>
      <c r="BC422" s="82" t="s">
        <v>4756</v>
      </c>
      <c r="BD422" s="77">
        <v>4357245737</v>
      </c>
      <c r="BE422" s="77"/>
      <c r="BF422" s="77"/>
      <c r="BG422" s="77"/>
      <c r="BH422" s="77"/>
      <c r="BI422" s="77"/>
    </row>
    <row r="423" spans="1:61" x14ac:dyDescent="0.25">
      <c r="A423" s="62" t="s">
        <v>418</v>
      </c>
      <c r="B423" s="62" t="s">
        <v>418</v>
      </c>
      <c r="C423" s="63"/>
      <c r="D423" s="64"/>
      <c r="E423" s="65"/>
      <c r="F423" s="66"/>
      <c r="G423" s="63"/>
      <c r="H423" s="67"/>
      <c r="I423" s="68"/>
      <c r="J423" s="68"/>
      <c r="K423" s="32"/>
      <c r="L423" s="75">
        <v>423</v>
      </c>
      <c r="M423" s="75"/>
      <c r="N423" s="70"/>
      <c r="O423" s="77" t="s">
        <v>179</v>
      </c>
      <c r="P423" s="79">
        <v>45106.681250000001</v>
      </c>
      <c r="Q423" s="77" t="s">
        <v>1005</v>
      </c>
      <c r="R423" s="77">
        <v>0</v>
      </c>
      <c r="S423" s="77">
        <v>0</v>
      </c>
      <c r="T423" s="77">
        <v>0</v>
      </c>
      <c r="U423" s="77">
        <v>0</v>
      </c>
      <c r="V423" s="77">
        <v>12</v>
      </c>
      <c r="W423" s="82" t="s">
        <v>1826</v>
      </c>
      <c r="X423" s="77"/>
      <c r="Y423" s="77"/>
      <c r="Z423" s="77"/>
      <c r="AA423" s="77"/>
      <c r="AB423" s="77"/>
      <c r="AC423" s="82" t="s">
        <v>2722</v>
      </c>
      <c r="AD423" s="77" t="s">
        <v>2752</v>
      </c>
      <c r="AE423" s="80" t="str">
        <f>HYPERLINK("https://twitter.com/juliocrrf/status/1674452918420877318")</f>
        <v>https://twitter.com/juliocrrf/status/1674452918420877318</v>
      </c>
      <c r="AF423" s="79">
        <v>45106.681250000001</v>
      </c>
      <c r="AG423" s="85">
        <v>45106</v>
      </c>
      <c r="AH423" s="82" t="s">
        <v>3177</v>
      </c>
      <c r="AI423" s="77"/>
      <c r="AJ423" s="77"/>
      <c r="AK423" s="77"/>
      <c r="AL423" s="77"/>
      <c r="AM423" s="77"/>
      <c r="AN423" s="77"/>
      <c r="AO423" s="77"/>
      <c r="AP423" s="77"/>
      <c r="AQ423" s="77"/>
      <c r="AR423" s="77"/>
      <c r="AS423" s="77"/>
      <c r="AT423" s="77"/>
      <c r="AU423" s="77"/>
      <c r="AV423" s="80" t="str">
        <f>HYPERLINK("https://pbs.twimg.com/profile_images/1638555528002404354/zYyRgIoe_normal.jpg")</f>
        <v>https://pbs.twimg.com/profile_images/1638555528002404354/zYyRgIoe_normal.jpg</v>
      </c>
      <c r="AW423" s="82" t="s">
        <v>4757</v>
      </c>
      <c r="AX423" s="82" t="s">
        <v>4757</v>
      </c>
      <c r="AY423" s="77"/>
      <c r="AZ423" s="82" t="s">
        <v>5615</v>
      </c>
      <c r="BA423" s="82" t="s">
        <v>5615</v>
      </c>
      <c r="BB423" s="82" t="s">
        <v>5615</v>
      </c>
      <c r="BC423" s="82" t="s">
        <v>4757</v>
      </c>
      <c r="BD423" s="77">
        <v>4357245737</v>
      </c>
      <c r="BE423" s="77"/>
      <c r="BF423" s="77"/>
      <c r="BG423" s="77"/>
      <c r="BH423" s="77"/>
      <c r="BI423" s="77"/>
    </row>
    <row r="424" spans="1:61" x14ac:dyDescent="0.25">
      <c r="A424" s="62" t="s">
        <v>418</v>
      </c>
      <c r="B424" s="62" t="s">
        <v>418</v>
      </c>
      <c r="C424" s="63"/>
      <c r="D424" s="64"/>
      <c r="E424" s="65"/>
      <c r="F424" s="66"/>
      <c r="G424" s="63"/>
      <c r="H424" s="67"/>
      <c r="I424" s="68"/>
      <c r="J424" s="68"/>
      <c r="K424" s="32"/>
      <c r="L424" s="75">
        <v>424</v>
      </c>
      <c r="M424" s="75"/>
      <c r="N424" s="70"/>
      <c r="O424" s="77" t="s">
        <v>179</v>
      </c>
      <c r="P424" s="79">
        <v>45106.513194444444</v>
      </c>
      <c r="Q424" s="77" t="s">
        <v>1006</v>
      </c>
      <c r="R424" s="77">
        <v>0</v>
      </c>
      <c r="S424" s="77">
        <v>0</v>
      </c>
      <c r="T424" s="77">
        <v>0</v>
      </c>
      <c r="U424" s="77">
        <v>0</v>
      </c>
      <c r="V424" s="77">
        <v>12</v>
      </c>
      <c r="W424" s="82" t="s">
        <v>1827</v>
      </c>
      <c r="X424" s="77"/>
      <c r="Y424" s="77"/>
      <c r="Z424" s="77"/>
      <c r="AA424" s="77"/>
      <c r="AB424" s="77"/>
      <c r="AC424" s="82" t="s">
        <v>2722</v>
      </c>
      <c r="AD424" s="77" t="s">
        <v>2752</v>
      </c>
      <c r="AE424" s="80" t="str">
        <f>HYPERLINK("https://twitter.com/juliocrrf/status/1674392017206407174")</f>
        <v>https://twitter.com/juliocrrf/status/1674392017206407174</v>
      </c>
      <c r="AF424" s="79">
        <v>45106.513194444444</v>
      </c>
      <c r="AG424" s="85">
        <v>45106</v>
      </c>
      <c r="AH424" s="82" t="s">
        <v>3178</v>
      </c>
      <c r="AI424" s="77"/>
      <c r="AJ424" s="77"/>
      <c r="AK424" s="77"/>
      <c r="AL424" s="77"/>
      <c r="AM424" s="77"/>
      <c r="AN424" s="77"/>
      <c r="AO424" s="77"/>
      <c r="AP424" s="77"/>
      <c r="AQ424" s="77"/>
      <c r="AR424" s="77"/>
      <c r="AS424" s="77"/>
      <c r="AT424" s="77"/>
      <c r="AU424" s="77"/>
      <c r="AV424" s="80" t="str">
        <f>HYPERLINK("https://pbs.twimg.com/profile_images/1638555528002404354/zYyRgIoe_normal.jpg")</f>
        <v>https://pbs.twimg.com/profile_images/1638555528002404354/zYyRgIoe_normal.jpg</v>
      </c>
      <c r="AW424" s="82" t="s">
        <v>4758</v>
      </c>
      <c r="AX424" s="82" t="s">
        <v>4758</v>
      </c>
      <c r="AY424" s="77"/>
      <c r="AZ424" s="82" t="s">
        <v>5615</v>
      </c>
      <c r="BA424" s="82" t="s">
        <v>5615</v>
      </c>
      <c r="BB424" s="82" t="s">
        <v>5615</v>
      </c>
      <c r="BC424" s="82" t="s">
        <v>4758</v>
      </c>
      <c r="BD424" s="77">
        <v>4357245737</v>
      </c>
      <c r="BE424" s="77"/>
      <c r="BF424" s="77"/>
      <c r="BG424" s="77"/>
      <c r="BH424" s="77"/>
      <c r="BI424" s="77"/>
    </row>
    <row r="425" spans="1:61" x14ac:dyDescent="0.25">
      <c r="A425" s="62" t="s">
        <v>418</v>
      </c>
      <c r="B425" s="62" t="s">
        <v>418</v>
      </c>
      <c r="C425" s="63"/>
      <c r="D425" s="64"/>
      <c r="E425" s="65"/>
      <c r="F425" s="66"/>
      <c r="G425" s="63"/>
      <c r="H425" s="67"/>
      <c r="I425" s="68"/>
      <c r="J425" s="68"/>
      <c r="K425" s="32"/>
      <c r="L425" s="75">
        <v>425</v>
      </c>
      <c r="M425" s="75"/>
      <c r="N425" s="70"/>
      <c r="O425" s="77" t="s">
        <v>179</v>
      </c>
      <c r="P425" s="79">
        <v>45105.928472222222</v>
      </c>
      <c r="Q425" s="77" t="s">
        <v>1007</v>
      </c>
      <c r="R425" s="77">
        <v>0</v>
      </c>
      <c r="S425" s="77">
        <v>0</v>
      </c>
      <c r="T425" s="77">
        <v>0</v>
      </c>
      <c r="U425" s="77">
        <v>0</v>
      </c>
      <c r="V425" s="77">
        <v>13</v>
      </c>
      <c r="W425" s="82" t="s">
        <v>1828</v>
      </c>
      <c r="X425" s="77"/>
      <c r="Y425" s="77"/>
      <c r="Z425" s="77"/>
      <c r="AA425" s="77"/>
      <c r="AB425" s="77"/>
      <c r="AC425" s="82" t="s">
        <v>2722</v>
      </c>
      <c r="AD425" s="77" t="s">
        <v>2752</v>
      </c>
      <c r="AE425" s="80" t="str">
        <f>HYPERLINK("https://twitter.com/juliocrrf/status/1674180120783867911")</f>
        <v>https://twitter.com/juliocrrf/status/1674180120783867911</v>
      </c>
      <c r="AF425" s="79">
        <v>45105.928472222222</v>
      </c>
      <c r="AG425" s="85">
        <v>45105</v>
      </c>
      <c r="AH425" s="82" t="s">
        <v>3179</v>
      </c>
      <c r="AI425" s="77"/>
      <c r="AJ425" s="77"/>
      <c r="AK425" s="77"/>
      <c r="AL425" s="77"/>
      <c r="AM425" s="77"/>
      <c r="AN425" s="77"/>
      <c r="AO425" s="77"/>
      <c r="AP425" s="77"/>
      <c r="AQ425" s="77"/>
      <c r="AR425" s="77"/>
      <c r="AS425" s="77"/>
      <c r="AT425" s="77"/>
      <c r="AU425" s="77"/>
      <c r="AV425" s="80" t="str">
        <f>HYPERLINK("https://pbs.twimg.com/profile_images/1638555528002404354/zYyRgIoe_normal.jpg")</f>
        <v>https://pbs.twimg.com/profile_images/1638555528002404354/zYyRgIoe_normal.jpg</v>
      </c>
      <c r="AW425" s="82" t="s">
        <v>4759</v>
      </c>
      <c r="AX425" s="82" t="s">
        <v>4759</v>
      </c>
      <c r="AY425" s="77"/>
      <c r="AZ425" s="82" t="s">
        <v>5615</v>
      </c>
      <c r="BA425" s="82" t="s">
        <v>5615</v>
      </c>
      <c r="BB425" s="82" t="s">
        <v>5615</v>
      </c>
      <c r="BC425" s="82" t="s">
        <v>4759</v>
      </c>
      <c r="BD425" s="77">
        <v>4357245737</v>
      </c>
      <c r="BE425" s="77"/>
      <c r="BF425" s="77"/>
      <c r="BG425" s="77"/>
      <c r="BH425" s="77"/>
      <c r="BI425" s="77"/>
    </row>
    <row r="426" spans="1:61" x14ac:dyDescent="0.25">
      <c r="A426" s="62" t="s">
        <v>418</v>
      </c>
      <c r="B426" s="62" t="s">
        <v>418</v>
      </c>
      <c r="C426" s="63"/>
      <c r="D426" s="64"/>
      <c r="E426" s="65"/>
      <c r="F426" s="66"/>
      <c r="G426" s="63"/>
      <c r="H426" s="67"/>
      <c r="I426" s="68"/>
      <c r="J426" s="68"/>
      <c r="K426" s="32"/>
      <c r="L426" s="75">
        <v>426</v>
      </c>
      <c r="M426" s="75"/>
      <c r="N426" s="70"/>
      <c r="O426" s="77" t="s">
        <v>179</v>
      </c>
      <c r="P426" s="79">
        <v>45112.488194444442</v>
      </c>
      <c r="Q426" s="77" t="s">
        <v>1008</v>
      </c>
      <c r="R426" s="77">
        <v>0</v>
      </c>
      <c r="S426" s="77">
        <v>0</v>
      </c>
      <c r="T426" s="77">
        <v>0</v>
      </c>
      <c r="U426" s="77">
        <v>0</v>
      </c>
      <c r="V426" s="77">
        <v>15</v>
      </c>
      <c r="W426" s="82" t="s">
        <v>1829</v>
      </c>
      <c r="X426" s="77"/>
      <c r="Y426" s="77"/>
      <c r="Z426" s="77"/>
      <c r="AA426" s="77"/>
      <c r="AB426" s="77"/>
      <c r="AC426" s="82" t="s">
        <v>2722</v>
      </c>
      <c r="AD426" s="77" t="s">
        <v>2752</v>
      </c>
      <c r="AE426" s="80" t="str">
        <f>HYPERLINK("https://twitter.com/juliocrrf/status/1676557284611354624")</f>
        <v>https://twitter.com/juliocrrf/status/1676557284611354624</v>
      </c>
      <c r="AF426" s="79">
        <v>45112.488194444442</v>
      </c>
      <c r="AG426" s="85">
        <v>45112</v>
      </c>
      <c r="AH426" s="82" t="s">
        <v>3180</v>
      </c>
      <c r="AI426" s="77"/>
      <c r="AJ426" s="77"/>
      <c r="AK426" s="77"/>
      <c r="AL426" s="77"/>
      <c r="AM426" s="77"/>
      <c r="AN426" s="77"/>
      <c r="AO426" s="77"/>
      <c r="AP426" s="77"/>
      <c r="AQ426" s="77"/>
      <c r="AR426" s="77"/>
      <c r="AS426" s="77"/>
      <c r="AT426" s="77"/>
      <c r="AU426" s="77"/>
      <c r="AV426" s="80" t="str">
        <f>HYPERLINK("https://pbs.twimg.com/profile_images/1638555528002404354/zYyRgIoe_normal.jpg")</f>
        <v>https://pbs.twimg.com/profile_images/1638555528002404354/zYyRgIoe_normal.jpg</v>
      </c>
      <c r="AW426" s="82" t="s">
        <v>4760</v>
      </c>
      <c r="AX426" s="82" t="s">
        <v>4760</v>
      </c>
      <c r="AY426" s="77"/>
      <c r="AZ426" s="82" t="s">
        <v>5615</v>
      </c>
      <c r="BA426" s="82" t="s">
        <v>5615</v>
      </c>
      <c r="BB426" s="82" t="s">
        <v>5615</v>
      </c>
      <c r="BC426" s="82" t="s">
        <v>4760</v>
      </c>
      <c r="BD426" s="77">
        <v>4357245737</v>
      </c>
      <c r="BE426" s="77"/>
      <c r="BF426" s="77"/>
      <c r="BG426" s="77"/>
      <c r="BH426" s="77"/>
      <c r="BI426" s="77"/>
    </row>
    <row r="427" spans="1:61" x14ac:dyDescent="0.25">
      <c r="A427" s="62" t="s">
        <v>418</v>
      </c>
      <c r="B427" s="62" t="s">
        <v>418</v>
      </c>
      <c r="C427" s="63"/>
      <c r="D427" s="64"/>
      <c r="E427" s="65"/>
      <c r="F427" s="66"/>
      <c r="G427" s="63"/>
      <c r="H427" s="67"/>
      <c r="I427" s="68"/>
      <c r="J427" s="68"/>
      <c r="K427" s="32"/>
      <c r="L427" s="75">
        <v>427</v>
      </c>
      <c r="M427" s="75"/>
      <c r="N427" s="70"/>
      <c r="O427" s="77" t="s">
        <v>179</v>
      </c>
      <c r="P427" s="79">
        <v>45111.915277777778</v>
      </c>
      <c r="Q427" s="77" t="s">
        <v>1009</v>
      </c>
      <c r="R427" s="77">
        <v>0</v>
      </c>
      <c r="S427" s="77">
        <v>0</v>
      </c>
      <c r="T427" s="77">
        <v>0</v>
      </c>
      <c r="U427" s="77">
        <v>0</v>
      </c>
      <c r="V427" s="77"/>
      <c r="W427" s="82" t="s">
        <v>1830</v>
      </c>
      <c r="X427" s="77"/>
      <c r="Y427" s="77"/>
      <c r="Z427" s="77"/>
      <c r="AA427" s="77"/>
      <c r="AB427" s="77"/>
      <c r="AC427" s="82" t="s">
        <v>2722</v>
      </c>
      <c r="AD427" s="77" t="s">
        <v>2752</v>
      </c>
      <c r="AE427" s="80" t="str">
        <f>HYPERLINK("https://twitter.com/juliocrrf/status/1676349666361856002")</f>
        <v>https://twitter.com/juliocrrf/status/1676349666361856002</v>
      </c>
      <c r="AF427" s="79">
        <v>45111.915277777778</v>
      </c>
      <c r="AG427" s="85">
        <v>45111</v>
      </c>
      <c r="AH427" s="82" t="s">
        <v>2971</v>
      </c>
      <c r="AI427" s="77"/>
      <c r="AJ427" s="77"/>
      <c r="AK427" s="77"/>
      <c r="AL427" s="77"/>
      <c r="AM427" s="77"/>
      <c r="AN427" s="77"/>
      <c r="AO427" s="77"/>
      <c r="AP427" s="77"/>
      <c r="AQ427" s="77"/>
      <c r="AR427" s="77"/>
      <c r="AS427" s="77"/>
      <c r="AT427" s="77"/>
      <c r="AU427" s="77"/>
      <c r="AV427" s="80" t="str">
        <f>HYPERLINK("https://pbs.twimg.com/profile_images/1638555528002404354/zYyRgIoe_normal.jpg")</f>
        <v>https://pbs.twimg.com/profile_images/1638555528002404354/zYyRgIoe_normal.jpg</v>
      </c>
      <c r="AW427" s="82" t="s">
        <v>4761</v>
      </c>
      <c r="AX427" s="82" t="s">
        <v>4761</v>
      </c>
      <c r="AY427" s="77"/>
      <c r="AZ427" s="82" t="s">
        <v>5615</v>
      </c>
      <c r="BA427" s="82" t="s">
        <v>5615</v>
      </c>
      <c r="BB427" s="82" t="s">
        <v>5615</v>
      </c>
      <c r="BC427" s="82" t="s">
        <v>4761</v>
      </c>
      <c r="BD427" s="77">
        <v>4357245737</v>
      </c>
      <c r="BE427" s="77"/>
      <c r="BF427" s="77"/>
      <c r="BG427" s="77"/>
      <c r="BH427" s="77"/>
      <c r="BI427" s="77"/>
    </row>
    <row r="428" spans="1:61" x14ac:dyDescent="0.25">
      <c r="A428" s="62" t="s">
        <v>418</v>
      </c>
      <c r="B428" s="62" t="s">
        <v>418</v>
      </c>
      <c r="C428" s="63"/>
      <c r="D428" s="64"/>
      <c r="E428" s="65"/>
      <c r="F428" s="66"/>
      <c r="G428" s="63"/>
      <c r="H428" s="67"/>
      <c r="I428" s="68"/>
      <c r="J428" s="68"/>
      <c r="K428" s="32"/>
      <c r="L428" s="75">
        <v>428</v>
      </c>
      <c r="M428" s="75"/>
      <c r="N428" s="70"/>
      <c r="O428" s="77" t="s">
        <v>179</v>
      </c>
      <c r="P428" s="79">
        <v>45111.668749999997</v>
      </c>
      <c r="Q428" s="77" t="s">
        <v>1010</v>
      </c>
      <c r="R428" s="77">
        <v>0</v>
      </c>
      <c r="S428" s="77">
        <v>0</v>
      </c>
      <c r="T428" s="77">
        <v>0</v>
      </c>
      <c r="U428" s="77">
        <v>0</v>
      </c>
      <c r="V428" s="77"/>
      <c r="W428" s="82" t="s">
        <v>1825</v>
      </c>
      <c r="X428" s="77"/>
      <c r="Y428" s="77"/>
      <c r="Z428" s="77"/>
      <c r="AA428" s="77"/>
      <c r="AB428" s="77"/>
      <c r="AC428" s="82" t="s">
        <v>2722</v>
      </c>
      <c r="AD428" s="77" t="s">
        <v>2752</v>
      </c>
      <c r="AE428" s="80" t="str">
        <f>HYPERLINK("https://twitter.com/juliocrrf/status/1676260328169148418")</f>
        <v>https://twitter.com/juliocrrf/status/1676260328169148418</v>
      </c>
      <c r="AF428" s="79">
        <v>45111.668749999997</v>
      </c>
      <c r="AG428" s="85">
        <v>45111</v>
      </c>
      <c r="AH428" s="82" t="s">
        <v>3181</v>
      </c>
      <c r="AI428" s="77"/>
      <c r="AJ428" s="77"/>
      <c r="AK428" s="77"/>
      <c r="AL428" s="77"/>
      <c r="AM428" s="77"/>
      <c r="AN428" s="77"/>
      <c r="AO428" s="77"/>
      <c r="AP428" s="77"/>
      <c r="AQ428" s="77"/>
      <c r="AR428" s="77"/>
      <c r="AS428" s="77"/>
      <c r="AT428" s="77"/>
      <c r="AU428" s="77"/>
      <c r="AV428" s="80" t="str">
        <f>HYPERLINK("https://pbs.twimg.com/profile_images/1638555528002404354/zYyRgIoe_normal.jpg")</f>
        <v>https://pbs.twimg.com/profile_images/1638555528002404354/zYyRgIoe_normal.jpg</v>
      </c>
      <c r="AW428" s="82" t="s">
        <v>4762</v>
      </c>
      <c r="AX428" s="82" t="s">
        <v>4762</v>
      </c>
      <c r="AY428" s="77"/>
      <c r="AZ428" s="82" t="s">
        <v>5615</v>
      </c>
      <c r="BA428" s="82" t="s">
        <v>5615</v>
      </c>
      <c r="BB428" s="82" t="s">
        <v>5615</v>
      </c>
      <c r="BC428" s="82" t="s">
        <v>4762</v>
      </c>
      <c r="BD428" s="77">
        <v>4357245737</v>
      </c>
      <c r="BE428" s="77"/>
      <c r="BF428" s="77"/>
      <c r="BG428" s="77"/>
      <c r="BH428" s="77"/>
      <c r="BI428" s="77"/>
    </row>
    <row r="429" spans="1:61" x14ac:dyDescent="0.25">
      <c r="A429" s="62" t="s">
        <v>418</v>
      </c>
      <c r="B429" s="62" t="s">
        <v>418</v>
      </c>
      <c r="C429" s="63"/>
      <c r="D429" s="64"/>
      <c r="E429" s="65"/>
      <c r="F429" s="66"/>
      <c r="G429" s="63"/>
      <c r="H429" s="67"/>
      <c r="I429" s="68"/>
      <c r="J429" s="68"/>
      <c r="K429" s="32"/>
      <c r="L429" s="75">
        <v>429</v>
      </c>
      <c r="M429" s="75"/>
      <c r="N429" s="70"/>
      <c r="O429" s="77" t="s">
        <v>179</v>
      </c>
      <c r="P429" s="79">
        <v>45111.496527777781</v>
      </c>
      <c r="Q429" s="77" t="s">
        <v>1011</v>
      </c>
      <c r="R429" s="77">
        <v>0</v>
      </c>
      <c r="S429" s="77">
        <v>0</v>
      </c>
      <c r="T429" s="77">
        <v>0</v>
      </c>
      <c r="U429" s="77">
        <v>0</v>
      </c>
      <c r="V429" s="77">
        <v>14</v>
      </c>
      <c r="W429" s="82" t="s">
        <v>1831</v>
      </c>
      <c r="X429" s="77"/>
      <c r="Y429" s="77"/>
      <c r="Z429" s="77"/>
      <c r="AA429" s="77"/>
      <c r="AB429" s="77"/>
      <c r="AC429" s="82" t="s">
        <v>2722</v>
      </c>
      <c r="AD429" s="77" t="s">
        <v>2752</v>
      </c>
      <c r="AE429" s="80" t="str">
        <f>HYPERLINK("https://twitter.com/juliocrrf/status/1676197916569133057")</f>
        <v>https://twitter.com/juliocrrf/status/1676197916569133057</v>
      </c>
      <c r="AF429" s="79">
        <v>45111.496527777781</v>
      </c>
      <c r="AG429" s="85">
        <v>45111</v>
      </c>
      <c r="AH429" s="82" t="s">
        <v>3182</v>
      </c>
      <c r="AI429" s="77"/>
      <c r="AJ429" s="77"/>
      <c r="AK429" s="77"/>
      <c r="AL429" s="77"/>
      <c r="AM429" s="77"/>
      <c r="AN429" s="77"/>
      <c r="AO429" s="77"/>
      <c r="AP429" s="77"/>
      <c r="AQ429" s="77"/>
      <c r="AR429" s="77"/>
      <c r="AS429" s="77"/>
      <c r="AT429" s="77"/>
      <c r="AU429" s="77"/>
      <c r="AV429" s="80" t="str">
        <f>HYPERLINK("https://pbs.twimg.com/profile_images/1638555528002404354/zYyRgIoe_normal.jpg")</f>
        <v>https://pbs.twimg.com/profile_images/1638555528002404354/zYyRgIoe_normal.jpg</v>
      </c>
      <c r="AW429" s="82" t="s">
        <v>4763</v>
      </c>
      <c r="AX429" s="82" t="s">
        <v>4763</v>
      </c>
      <c r="AY429" s="77"/>
      <c r="AZ429" s="82" t="s">
        <v>5615</v>
      </c>
      <c r="BA429" s="82" t="s">
        <v>5615</v>
      </c>
      <c r="BB429" s="82" t="s">
        <v>5615</v>
      </c>
      <c r="BC429" s="82" t="s">
        <v>4763</v>
      </c>
      <c r="BD429" s="77">
        <v>4357245737</v>
      </c>
      <c r="BE429" s="77"/>
      <c r="BF429" s="77"/>
      <c r="BG429" s="77"/>
      <c r="BH429" s="77"/>
      <c r="BI429" s="77"/>
    </row>
    <row r="430" spans="1:61" x14ac:dyDescent="0.25">
      <c r="A430" s="62" t="s">
        <v>418</v>
      </c>
      <c r="B430" s="62" t="s">
        <v>418</v>
      </c>
      <c r="C430" s="63"/>
      <c r="D430" s="64"/>
      <c r="E430" s="65"/>
      <c r="F430" s="66"/>
      <c r="G430" s="63"/>
      <c r="H430" s="67"/>
      <c r="I430" s="68"/>
      <c r="J430" s="68"/>
      <c r="K430" s="32"/>
      <c r="L430" s="75">
        <v>430</v>
      </c>
      <c r="M430" s="75"/>
      <c r="N430" s="70"/>
      <c r="O430" s="77" t="s">
        <v>179</v>
      </c>
      <c r="P430" s="79">
        <v>45110.921527777777</v>
      </c>
      <c r="Q430" s="77" t="s">
        <v>1012</v>
      </c>
      <c r="R430" s="77">
        <v>0</v>
      </c>
      <c r="S430" s="77">
        <v>0</v>
      </c>
      <c r="T430" s="77">
        <v>0</v>
      </c>
      <c r="U430" s="77">
        <v>0</v>
      </c>
      <c r="V430" s="77">
        <v>17</v>
      </c>
      <c r="W430" s="82" t="s">
        <v>1832</v>
      </c>
      <c r="X430" s="77"/>
      <c r="Y430" s="77"/>
      <c r="Z430" s="77"/>
      <c r="AA430" s="77"/>
      <c r="AB430" s="77"/>
      <c r="AC430" s="82" t="s">
        <v>2722</v>
      </c>
      <c r="AD430" s="77" t="s">
        <v>2752</v>
      </c>
      <c r="AE430" s="80" t="str">
        <f>HYPERLINK("https://twitter.com/juliocrrf/status/1675989543726759936")</f>
        <v>https://twitter.com/juliocrrf/status/1675989543726759936</v>
      </c>
      <c r="AF430" s="79">
        <v>45110.921527777777</v>
      </c>
      <c r="AG430" s="85">
        <v>45110</v>
      </c>
      <c r="AH430" s="82" t="s">
        <v>3183</v>
      </c>
      <c r="AI430" s="77"/>
      <c r="AJ430" s="77"/>
      <c r="AK430" s="77"/>
      <c r="AL430" s="77"/>
      <c r="AM430" s="77"/>
      <c r="AN430" s="77"/>
      <c r="AO430" s="77"/>
      <c r="AP430" s="77"/>
      <c r="AQ430" s="77"/>
      <c r="AR430" s="77"/>
      <c r="AS430" s="77"/>
      <c r="AT430" s="77"/>
      <c r="AU430" s="77"/>
      <c r="AV430" s="80" t="str">
        <f>HYPERLINK("https://pbs.twimg.com/profile_images/1638555528002404354/zYyRgIoe_normal.jpg")</f>
        <v>https://pbs.twimg.com/profile_images/1638555528002404354/zYyRgIoe_normal.jpg</v>
      </c>
      <c r="AW430" s="82" t="s">
        <v>4764</v>
      </c>
      <c r="AX430" s="82" t="s">
        <v>4764</v>
      </c>
      <c r="AY430" s="77"/>
      <c r="AZ430" s="82" t="s">
        <v>5615</v>
      </c>
      <c r="BA430" s="82" t="s">
        <v>5615</v>
      </c>
      <c r="BB430" s="82" t="s">
        <v>5615</v>
      </c>
      <c r="BC430" s="82" t="s">
        <v>4764</v>
      </c>
      <c r="BD430" s="77">
        <v>4357245737</v>
      </c>
      <c r="BE430" s="77"/>
      <c r="BF430" s="77"/>
      <c r="BG430" s="77"/>
      <c r="BH430" s="77"/>
      <c r="BI430" s="77"/>
    </row>
    <row r="431" spans="1:61" x14ac:dyDescent="0.25">
      <c r="A431" s="62" t="s">
        <v>418</v>
      </c>
      <c r="B431" s="62" t="s">
        <v>418</v>
      </c>
      <c r="C431" s="63"/>
      <c r="D431" s="64"/>
      <c r="E431" s="65"/>
      <c r="F431" s="66"/>
      <c r="G431" s="63"/>
      <c r="H431" s="67"/>
      <c r="I431" s="68"/>
      <c r="J431" s="68"/>
      <c r="K431" s="32"/>
      <c r="L431" s="75">
        <v>431</v>
      </c>
      <c r="M431" s="75"/>
      <c r="N431" s="70"/>
      <c r="O431" s="77" t="s">
        <v>179</v>
      </c>
      <c r="P431" s="79">
        <v>45110.668055555558</v>
      </c>
      <c r="Q431" s="77" t="s">
        <v>1013</v>
      </c>
      <c r="R431" s="77">
        <v>0</v>
      </c>
      <c r="S431" s="77">
        <v>0</v>
      </c>
      <c r="T431" s="77">
        <v>0</v>
      </c>
      <c r="U431" s="77">
        <v>0</v>
      </c>
      <c r="V431" s="77">
        <v>17</v>
      </c>
      <c r="W431" s="82" t="s">
        <v>1833</v>
      </c>
      <c r="X431" s="77"/>
      <c r="Y431" s="77"/>
      <c r="Z431" s="77"/>
      <c r="AA431" s="77"/>
      <c r="AB431" s="77"/>
      <c r="AC431" s="82" t="s">
        <v>2722</v>
      </c>
      <c r="AD431" s="77" t="s">
        <v>2752</v>
      </c>
      <c r="AE431" s="80" t="str">
        <f>HYPERLINK("https://twitter.com/juliocrrf/status/1675897688674508806")</f>
        <v>https://twitter.com/juliocrrf/status/1675897688674508806</v>
      </c>
      <c r="AF431" s="79">
        <v>45110.668055555558</v>
      </c>
      <c r="AG431" s="85">
        <v>45110</v>
      </c>
      <c r="AH431" s="82" t="s">
        <v>3184</v>
      </c>
      <c r="AI431" s="77"/>
      <c r="AJ431" s="77"/>
      <c r="AK431" s="77"/>
      <c r="AL431" s="77"/>
      <c r="AM431" s="77"/>
      <c r="AN431" s="77"/>
      <c r="AO431" s="77"/>
      <c r="AP431" s="77"/>
      <c r="AQ431" s="77"/>
      <c r="AR431" s="77"/>
      <c r="AS431" s="77"/>
      <c r="AT431" s="77"/>
      <c r="AU431" s="77"/>
      <c r="AV431" s="80" t="str">
        <f>HYPERLINK("https://pbs.twimg.com/profile_images/1638555528002404354/zYyRgIoe_normal.jpg")</f>
        <v>https://pbs.twimg.com/profile_images/1638555528002404354/zYyRgIoe_normal.jpg</v>
      </c>
      <c r="AW431" s="82" t="s">
        <v>4765</v>
      </c>
      <c r="AX431" s="82" t="s">
        <v>4765</v>
      </c>
      <c r="AY431" s="77"/>
      <c r="AZ431" s="82" t="s">
        <v>5615</v>
      </c>
      <c r="BA431" s="82" t="s">
        <v>5615</v>
      </c>
      <c r="BB431" s="82" t="s">
        <v>5615</v>
      </c>
      <c r="BC431" s="82" t="s">
        <v>4765</v>
      </c>
      <c r="BD431" s="77">
        <v>4357245737</v>
      </c>
      <c r="BE431" s="77"/>
      <c r="BF431" s="77"/>
      <c r="BG431" s="77"/>
      <c r="BH431" s="77"/>
      <c r="BI431" s="77"/>
    </row>
    <row r="432" spans="1:61" x14ac:dyDescent="0.25">
      <c r="A432" s="62" t="s">
        <v>418</v>
      </c>
      <c r="B432" s="62" t="s">
        <v>418</v>
      </c>
      <c r="C432" s="63"/>
      <c r="D432" s="64"/>
      <c r="E432" s="65"/>
      <c r="F432" s="66"/>
      <c r="G432" s="63"/>
      <c r="H432" s="67"/>
      <c r="I432" s="68"/>
      <c r="J432" s="68"/>
      <c r="K432" s="32"/>
      <c r="L432" s="75">
        <v>432</v>
      </c>
      <c r="M432" s="75"/>
      <c r="N432" s="70"/>
      <c r="O432" s="77" t="s">
        <v>179</v>
      </c>
      <c r="P432" s="79">
        <v>45110.482638888891</v>
      </c>
      <c r="Q432" s="77" t="s">
        <v>1014</v>
      </c>
      <c r="R432" s="77">
        <v>0</v>
      </c>
      <c r="S432" s="77">
        <v>0</v>
      </c>
      <c r="T432" s="77">
        <v>0</v>
      </c>
      <c r="U432" s="77">
        <v>0</v>
      </c>
      <c r="V432" s="77">
        <v>5</v>
      </c>
      <c r="W432" s="82" t="s">
        <v>1834</v>
      </c>
      <c r="X432" s="77"/>
      <c r="Y432" s="77"/>
      <c r="Z432" s="77"/>
      <c r="AA432" s="77"/>
      <c r="AB432" s="77"/>
      <c r="AC432" s="82" t="s">
        <v>2722</v>
      </c>
      <c r="AD432" s="77" t="s">
        <v>2752</v>
      </c>
      <c r="AE432" s="80" t="str">
        <f>HYPERLINK("https://twitter.com/juliocrrf/status/1675830495811100674")</f>
        <v>https://twitter.com/juliocrrf/status/1675830495811100674</v>
      </c>
      <c r="AF432" s="79">
        <v>45110.482638888891</v>
      </c>
      <c r="AG432" s="85">
        <v>45110</v>
      </c>
      <c r="AH432" s="82" t="s">
        <v>3185</v>
      </c>
      <c r="AI432" s="77"/>
      <c r="AJ432" s="77"/>
      <c r="AK432" s="77"/>
      <c r="AL432" s="77"/>
      <c r="AM432" s="77"/>
      <c r="AN432" s="77"/>
      <c r="AO432" s="77"/>
      <c r="AP432" s="77"/>
      <c r="AQ432" s="77"/>
      <c r="AR432" s="77"/>
      <c r="AS432" s="77"/>
      <c r="AT432" s="77"/>
      <c r="AU432" s="77"/>
      <c r="AV432" s="80" t="str">
        <f>HYPERLINK("https://pbs.twimg.com/profile_images/1638555528002404354/zYyRgIoe_normal.jpg")</f>
        <v>https://pbs.twimg.com/profile_images/1638555528002404354/zYyRgIoe_normal.jpg</v>
      </c>
      <c r="AW432" s="82" t="s">
        <v>4766</v>
      </c>
      <c r="AX432" s="82" t="s">
        <v>4766</v>
      </c>
      <c r="AY432" s="77"/>
      <c r="AZ432" s="82" t="s">
        <v>5615</v>
      </c>
      <c r="BA432" s="82" t="s">
        <v>5615</v>
      </c>
      <c r="BB432" s="82" t="s">
        <v>5615</v>
      </c>
      <c r="BC432" s="82" t="s">
        <v>4766</v>
      </c>
      <c r="BD432" s="77">
        <v>4357245737</v>
      </c>
      <c r="BE432" s="77"/>
      <c r="BF432" s="77"/>
      <c r="BG432" s="77"/>
      <c r="BH432" s="77"/>
      <c r="BI432" s="77"/>
    </row>
    <row r="433" spans="1:61" x14ac:dyDescent="0.25">
      <c r="A433" s="62" t="s">
        <v>418</v>
      </c>
      <c r="B433" s="62" t="s">
        <v>418</v>
      </c>
      <c r="C433" s="63"/>
      <c r="D433" s="64"/>
      <c r="E433" s="65"/>
      <c r="F433" s="66"/>
      <c r="G433" s="63"/>
      <c r="H433" s="67"/>
      <c r="I433" s="68"/>
      <c r="J433" s="68"/>
      <c r="K433" s="32"/>
      <c r="L433" s="75">
        <v>433</v>
      </c>
      <c r="M433" s="75"/>
      <c r="N433" s="70"/>
      <c r="O433" s="77" t="s">
        <v>179</v>
      </c>
      <c r="P433" s="79">
        <v>45109.919444444444</v>
      </c>
      <c r="Q433" s="77" t="s">
        <v>1015</v>
      </c>
      <c r="R433" s="77">
        <v>0</v>
      </c>
      <c r="S433" s="77">
        <v>0</v>
      </c>
      <c r="T433" s="77">
        <v>0</v>
      </c>
      <c r="U433" s="77">
        <v>0</v>
      </c>
      <c r="V433" s="77">
        <v>19</v>
      </c>
      <c r="W433" s="82" t="s">
        <v>1835</v>
      </c>
      <c r="X433" s="77"/>
      <c r="Y433" s="77"/>
      <c r="Z433" s="77"/>
      <c r="AA433" s="77"/>
      <c r="AB433" s="77"/>
      <c r="AC433" s="82" t="s">
        <v>2722</v>
      </c>
      <c r="AD433" s="77" t="s">
        <v>2752</v>
      </c>
      <c r="AE433" s="80" t="str">
        <f>HYPERLINK("https://twitter.com/juliocrrf/status/1675626401225900032")</f>
        <v>https://twitter.com/juliocrrf/status/1675626401225900032</v>
      </c>
      <c r="AF433" s="79">
        <v>45109.919444444444</v>
      </c>
      <c r="AG433" s="85">
        <v>45109</v>
      </c>
      <c r="AH433" s="82" t="s">
        <v>3186</v>
      </c>
      <c r="AI433" s="77"/>
      <c r="AJ433" s="77"/>
      <c r="AK433" s="77"/>
      <c r="AL433" s="77"/>
      <c r="AM433" s="77"/>
      <c r="AN433" s="77"/>
      <c r="AO433" s="77"/>
      <c r="AP433" s="77"/>
      <c r="AQ433" s="77"/>
      <c r="AR433" s="77"/>
      <c r="AS433" s="77"/>
      <c r="AT433" s="77"/>
      <c r="AU433" s="77"/>
      <c r="AV433" s="80" t="str">
        <f>HYPERLINK("https://pbs.twimg.com/profile_images/1638555528002404354/zYyRgIoe_normal.jpg")</f>
        <v>https://pbs.twimg.com/profile_images/1638555528002404354/zYyRgIoe_normal.jpg</v>
      </c>
      <c r="AW433" s="82" t="s">
        <v>4767</v>
      </c>
      <c r="AX433" s="82" t="s">
        <v>4767</v>
      </c>
      <c r="AY433" s="77"/>
      <c r="AZ433" s="82" t="s">
        <v>5615</v>
      </c>
      <c r="BA433" s="82" t="s">
        <v>5615</v>
      </c>
      <c r="BB433" s="82" t="s">
        <v>5615</v>
      </c>
      <c r="BC433" s="82" t="s">
        <v>4767</v>
      </c>
      <c r="BD433" s="77">
        <v>4357245737</v>
      </c>
      <c r="BE433" s="77"/>
      <c r="BF433" s="77"/>
      <c r="BG433" s="77"/>
      <c r="BH433" s="77"/>
      <c r="BI433" s="77"/>
    </row>
    <row r="434" spans="1:61" x14ac:dyDescent="0.25">
      <c r="A434" s="62" t="s">
        <v>418</v>
      </c>
      <c r="B434" s="62" t="s">
        <v>418</v>
      </c>
      <c r="C434" s="63"/>
      <c r="D434" s="64"/>
      <c r="E434" s="65"/>
      <c r="F434" s="66"/>
      <c r="G434" s="63"/>
      <c r="H434" s="67"/>
      <c r="I434" s="68"/>
      <c r="J434" s="68"/>
      <c r="K434" s="32"/>
      <c r="L434" s="75">
        <v>434</v>
      </c>
      <c r="M434" s="75"/>
      <c r="N434" s="70"/>
      <c r="O434" s="77" t="s">
        <v>179</v>
      </c>
      <c r="P434" s="79">
        <v>45104.674305555556</v>
      </c>
      <c r="Q434" s="77" t="s">
        <v>1016</v>
      </c>
      <c r="R434" s="77">
        <v>0</v>
      </c>
      <c r="S434" s="77">
        <v>0</v>
      </c>
      <c r="T434" s="77">
        <v>0</v>
      </c>
      <c r="U434" s="77">
        <v>0</v>
      </c>
      <c r="V434" s="77">
        <v>16</v>
      </c>
      <c r="W434" s="82" t="s">
        <v>1836</v>
      </c>
      <c r="X434" s="77"/>
      <c r="Y434" s="77"/>
      <c r="Z434" s="77"/>
      <c r="AA434" s="77"/>
      <c r="AB434" s="77"/>
      <c r="AC434" s="82" t="s">
        <v>2722</v>
      </c>
      <c r="AD434" s="77" t="s">
        <v>2752</v>
      </c>
      <c r="AE434" s="80" t="str">
        <f>HYPERLINK("https://twitter.com/juliocrrf/status/1673725625977405443")</f>
        <v>https://twitter.com/juliocrrf/status/1673725625977405443</v>
      </c>
      <c r="AF434" s="79">
        <v>45104.674305555556</v>
      </c>
      <c r="AG434" s="85">
        <v>45104</v>
      </c>
      <c r="AH434" s="82" t="s">
        <v>3187</v>
      </c>
      <c r="AI434" s="77"/>
      <c r="AJ434" s="77"/>
      <c r="AK434" s="77"/>
      <c r="AL434" s="77"/>
      <c r="AM434" s="77"/>
      <c r="AN434" s="77"/>
      <c r="AO434" s="77"/>
      <c r="AP434" s="77"/>
      <c r="AQ434" s="77"/>
      <c r="AR434" s="77"/>
      <c r="AS434" s="77"/>
      <c r="AT434" s="77"/>
      <c r="AU434" s="77"/>
      <c r="AV434" s="80" t="str">
        <f>HYPERLINK("https://pbs.twimg.com/profile_images/1638555528002404354/zYyRgIoe_normal.jpg")</f>
        <v>https://pbs.twimg.com/profile_images/1638555528002404354/zYyRgIoe_normal.jpg</v>
      </c>
      <c r="AW434" s="82" t="s">
        <v>4768</v>
      </c>
      <c r="AX434" s="82" t="s">
        <v>4768</v>
      </c>
      <c r="AY434" s="77"/>
      <c r="AZ434" s="82" t="s">
        <v>5615</v>
      </c>
      <c r="BA434" s="82" t="s">
        <v>5615</v>
      </c>
      <c r="BB434" s="82" t="s">
        <v>5615</v>
      </c>
      <c r="BC434" s="82" t="s">
        <v>4768</v>
      </c>
      <c r="BD434" s="77">
        <v>4357245737</v>
      </c>
      <c r="BE434" s="77"/>
      <c r="BF434" s="77"/>
      <c r="BG434" s="77"/>
      <c r="BH434" s="77"/>
      <c r="BI434" s="77"/>
    </row>
    <row r="435" spans="1:61" x14ac:dyDescent="0.25">
      <c r="A435" s="62" t="s">
        <v>418</v>
      </c>
      <c r="B435" s="62" t="s">
        <v>418</v>
      </c>
      <c r="C435" s="63"/>
      <c r="D435" s="64"/>
      <c r="E435" s="65"/>
      <c r="F435" s="66"/>
      <c r="G435" s="63"/>
      <c r="H435" s="67"/>
      <c r="I435" s="68"/>
      <c r="J435" s="68"/>
      <c r="K435" s="32"/>
      <c r="L435" s="75">
        <v>435</v>
      </c>
      <c r="M435" s="75"/>
      <c r="N435" s="70"/>
      <c r="O435" s="77" t="s">
        <v>179</v>
      </c>
      <c r="P435" s="79">
        <v>45104.506944444445</v>
      </c>
      <c r="Q435" s="77" t="s">
        <v>1017</v>
      </c>
      <c r="R435" s="77">
        <v>0</v>
      </c>
      <c r="S435" s="77">
        <v>0</v>
      </c>
      <c r="T435" s="77">
        <v>0</v>
      </c>
      <c r="U435" s="77">
        <v>0</v>
      </c>
      <c r="V435" s="77">
        <v>19</v>
      </c>
      <c r="W435" s="82" t="s">
        <v>1837</v>
      </c>
      <c r="X435" s="77"/>
      <c r="Y435" s="77"/>
      <c r="Z435" s="77"/>
      <c r="AA435" s="77"/>
      <c r="AB435" s="77"/>
      <c r="AC435" s="82" t="s">
        <v>2722</v>
      </c>
      <c r="AD435" s="77" t="s">
        <v>2752</v>
      </c>
      <c r="AE435" s="80" t="str">
        <f>HYPERLINK("https://twitter.com/juliocrrf/status/1673664977029169152")</f>
        <v>https://twitter.com/juliocrrf/status/1673664977029169152</v>
      </c>
      <c r="AF435" s="79">
        <v>45104.506944444445</v>
      </c>
      <c r="AG435" s="85">
        <v>45104</v>
      </c>
      <c r="AH435" s="82" t="s">
        <v>3188</v>
      </c>
      <c r="AI435" s="77"/>
      <c r="AJ435" s="77"/>
      <c r="AK435" s="77"/>
      <c r="AL435" s="77"/>
      <c r="AM435" s="77"/>
      <c r="AN435" s="77"/>
      <c r="AO435" s="77"/>
      <c r="AP435" s="77"/>
      <c r="AQ435" s="77"/>
      <c r="AR435" s="77"/>
      <c r="AS435" s="77"/>
      <c r="AT435" s="77"/>
      <c r="AU435" s="77"/>
      <c r="AV435" s="80" t="str">
        <f>HYPERLINK("https://pbs.twimg.com/profile_images/1638555528002404354/zYyRgIoe_normal.jpg")</f>
        <v>https://pbs.twimg.com/profile_images/1638555528002404354/zYyRgIoe_normal.jpg</v>
      </c>
      <c r="AW435" s="82" t="s">
        <v>4769</v>
      </c>
      <c r="AX435" s="82" t="s">
        <v>4769</v>
      </c>
      <c r="AY435" s="77"/>
      <c r="AZ435" s="82" t="s">
        <v>5615</v>
      </c>
      <c r="BA435" s="82" t="s">
        <v>5615</v>
      </c>
      <c r="BB435" s="82" t="s">
        <v>5615</v>
      </c>
      <c r="BC435" s="82" t="s">
        <v>4769</v>
      </c>
      <c r="BD435" s="77">
        <v>4357245737</v>
      </c>
      <c r="BE435" s="77"/>
      <c r="BF435" s="77"/>
      <c r="BG435" s="77"/>
      <c r="BH435" s="77"/>
      <c r="BI435" s="77"/>
    </row>
    <row r="436" spans="1:61" x14ac:dyDescent="0.25">
      <c r="A436" s="62" t="s">
        <v>418</v>
      </c>
      <c r="B436" s="62" t="s">
        <v>418</v>
      </c>
      <c r="C436" s="63"/>
      <c r="D436" s="64"/>
      <c r="E436" s="65"/>
      <c r="F436" s="66"/>
      <c r="G436" s="63"/>
      <c r="H436" s="67"/>
      <c r="I436" s="68"/>
      <c r="J436" s="68"/>
      <c r="K436" s="32"/>
      <c r="L436" s="75">
        <v>436</v>
      </c>
      <c r="M436" s="75"/>
      <c r="N436" s="70"/>
      <c r="O436" s="77" t="s">
        <v>179</v>
      </c>
      <c r="P436" s="79">
        <v>45103.922222222223</v>
      </c>
      <c r="Q436" s="77" t="s">
        <v>1018</v>
      </c>
      <c r="R436" s="77">
        <v>0</v>
      </c>
      <c r="S436" s="77">
        <v>0</v>
      </c>
      <c r="T436" s="77">
        <v>0</v>
      </c>
      <c r="U436" s="77">
        <v>0</v>
      </c>
      <c r="V436" s="77">
        <v>15</v>
      </c>
      <c r="W436" s="82" t="s">
        <v>1838</v>
      </c>
      <c r="X436" s="77"/>
      <c r="Y436" s="77"/>
      <c r="Z436" s="77"/>
      <c r="AA436" s="77"/>
      <c r="AB436" s="77"/>
      <c r="AC436" s="82" t="s">
        <v>2722</v>
      </c>
      <c r="AD436" s="77" t="s">
        <v>2752</v>
      </c>
      <c r="AE436" s="80" t="str">
        <f>HYPERLINK("https://twitter.com/juliocrrf/status/1673453080300384257")</f>
        <v>https://twitter.com/juliocrrf/status/1673453080300384257</v>
      </c>
      <c r="AF436" s="79">
        <v>45103.922222222223</v>
      </c>
      <c r="AG436" s="85">
        <v>45103</v>
      </c>
      <c r="AH436" s="82" t="s">
        <v>3189</v>
      </c>
      <c r="AI436" s="77"/>
      <c r="AJ436" s="77"/>
      <c r="AK436" s="77"/>
      <c r="AL436" s="77"/>
      <c r="AM436" s="77"/>
      <c r="AN436" s="77"/>
      <c r="AO436" s="77"/>
      <c r="AP436" s="77"/>
      <c r="AQ436" s="77"/>
      <c r="AR436" s="77"/>
      <c r="AS436" s="77"/>
      <c r="AT436" s="77"/>
      <c r="AU436" s="77"/>
      <c r="AV436" s="80" t="str">
        <f>HYPERLINK("https://pbs.twimg.com/profile_images/1638555528002404354/zYyRgIoe_normal.jpg")</f>
        <v>https://pbs.twimg.com/profile_images/1638555528002404354/zYyRgIoe_normal.jpg</v>
      </c>
      <c r="AW436" s="82" t="s">
        <v>4770</v>
      </c>
      <c r="AX436" s="82" t="s">
        <v>4770</v>
      </c>
      <c r="AY436" s="77"/>
      <c r="AZ436" s="82" t="s">
        <v>5615</v>
      </c>
      <c r="BA436" s="82" t="s">
        <v>5615</v>
      </c>
      <c r="BB436" s="82" t="s">
        <v>5615</v>
      </c>
      <c r="BC436" s="82" t="s">
        <v>4770</v>
      </c>
      <c r="BD436" s="77">
        <v>4357245737</v>
      </c>
      <c r="BE436" s="77"/>
      <c r="BF436" s="77"/>
      <c r="BG436" s="77"/>
      <c r="BH436" s="77"/>
      <c r="BI436" s="77"/>
    </row>
    <row r="437" spans="1:61" x14ac:dyDescent="0.25">
      <c r="A437" s="62" t="s">
        <v>418</v>
      </c>
      <c r="B437" s="62" t="s">
        <v>418</v>
      </c>
      <c r="C437" s="63"/>
      <c r="D437" s="64"/>
      <c r="E437" s="65"/>
      <c r="F437" s="66"/>
      <c r="G437" s="63"/>
      <c r="H437" s="67"/>
      <c r="I437" s="68"/>
      <c r="J437" s="68"/>
      <c r="K437" s="32"/>
      <c r="L437" s="75">
        <v>437</v>
      </c>
      <c r="M437" s="75"/>
      <c r="N437" s="70"/>
      <c r="O437" s="77" t="s">
        <v>179</v>
      </c>
      <c r="P437" s="79">
        <v>45103.671527777777</v>
      </c>
      <c r="Q437" s="77" t="s">
        <v>1019</v>
      </c>
      <c r="R437" s="77">
        <v>0</v>
      </c>
      <c r="S437" s="77">
        <v>0</v>
      </c>
      <c r="T437" s="77">
        <v>0</v>
      </c>
      <c r="U437" s="77">
        <v>0</v>
      </c>
      <c r="V437" s="77">
        <v>13</v>
      </c>
      <c r="W437" s="82" t="s">
        <v>1839</v>
      </c>
      <c r="X437" s="77"/>
      <c r="Y437" s="77"/>
      <c r="Z437" s="77"/>
      <c r="AA437" s="77"/>
      <c r="AB437" s="77"/>
      <c r="AC437" s="82" t="s">
        <v>2722</v>
      </c>
      <c r="AD437" s="77" t="s">
        <v>2752</v>
      </c>
      <c r="AE437" s="80" t="str">
        <f>HYPERLINK("https://twitter.com/juliocrrf/status/1673362231847731201")</f>
        <v>https://twitter.com/juliocrrf/status/1673362231847731201</v>
      </c>
      <c r="AF437" s="79">
        <v>45103.671527777777</v>
      </c>
      <c r="AG437" s="85">
        <v>45103</v>
      </c>
      <c r="AH437" s="82" t="s">
        <v>3190</v>
      </c>
      <c r="AI437" s="77"/>
      <c r="AJ437" s="77"/>
      <c r="AK437" s="77"/>
      <c r="AL437" s="77"/>
      <c r="AM437" s="77"/>
      <c r="AN437" s="77"/>
      <c r="AO437" s="77"/>
      <c r="AP437" s="77"/>
      <c r="AQ437" s="77"/>
      <c r="AR437" s="77"/>
      <c r="AS437" s="77"/>
      <c r="AT437" s="77"/>
      <c r="AU437" s="77"/>
      <c r="AV437" s="80" t="str">
        <f>HYPERLINK("https://pbs.twimg.com/profile_images/1638555528002404354/zYyRgIoe_normal.jpg")</f>
        <v>https://pbs.twimg.com/profile_images/1638555528002404354/zYyRgIoe_normal.jpg</v>
      </c>
      <c r="AW437" s="82" t="s">
        <v>4771</v>
      </c>
      <c r="AX437" s="82" t="s">
        <v>4771</v>
      </c>
      <c r="AY437" s="77"/>
      <c r="AZ437" s="82" t="s">
        <v>5615</v>
      </c>
      <c r="BA437" s="82" t="s">
        <v>5615</v>
      </c>
      <c r="BB437" s="82" t="s">
        <v>5615</v>
      </c>
      <c r="BC437" s="82" t="s">
        <v>4771</v>
      </c>
      <c r="BD437" s="77">
        <v>4357245737</v>
      </c>
      <c r="BE437" s="77"/>
      <c r="BF437" s="77"/>
      <c r="BG437" s="77"/>
      <c r="BH437" s="77"/>
      <c r="BI437" s="77"/>
    </row>
    <row r="438" spans="1:61" x14ac:dyDescent="0.25">
      <c r="A438" s="62" t="s">
        <v>418</v>
      </c>
      <c r="B438" s="62" t="s">
        <v>418</v>
      </c>
      <c r="C438" s="63"/>
      <c r="D438" s="64"/>
      <c r="E438" s="65"/>
      <c r="F438" s="66"/>
      <c r="G438" s="63"/>
      <c r="H438" s="67"/>
      <c r="I438" s="68"/>
      <c r="J438" s="68"/>
      <c r="K438" s="32"/>
      <c r="L438" s="75">
        <v>438</v>
      </c>
      <c r="M438" s="75"/>
      <c r="N438" s="70"/>
      <c r="O438" s="77" t="s">
        <v>179</v>
      </c>
      <c r="P438" s="79">
        <v>45103.503472222219</v>
      </c>
      <c r="Q438" s="77" t="s">
        <v>1020</v>
      </c>
      <c r="R438" s="77">
        <v>0</v>
      </c>
      <c r="S438" s="77">
        <v>0</v>
      </c>
      <c r="T438" s="77">
        <v>0</v>
      </c>
      <c r="U438" s="77">
        <v>0</v>
      </c>
      <c r="V438" s="77">
        <v>10</v>
      </c>
      <c r="W438" s="82" t="s">
        <v>1840</v>
      </c>
      <c r="X438" s="77"/>
      <c r="Y438" s="77"/>
      <c r="Z438" s="77"/>
      <c r="AA438" s="77"/>
      <c r="AB438" s="77"/>
      <c r="AC438" s="82" t="s">
        <v>2722</v>
      </c>
      <c r="AD438" s="77" t="s">
        <v>2752</v>
      </c>
      <c r="AE438" s="80" t="str">
        <f>HYPERLINK("https://twitter.com/juliocrrf/status/1673301331233103872")</f>
        <v>https://twitter.com/juliocrrf/status/1673301331233103872</v>
      </c>
      <c r="AF438" s="79">
        <v>45103.503472222219</v>
      </c>
      <c r="AG438" s="85">
        <v>45103</v>
      </c>
      <c r="AH438" s="82" t="s">
        <v>3191</v>
      </c>
      <c r="AI438" s="77"/>
      <c r="AJ438" s="77"/>
      <c r="AK438" s="77"/>
      <c r="AL438" s="77"/>
      <c r="AM438" s="77"/>
      <c r="AN438" s="77"/>
      <c r="AO438" s="77"/>
      <c r="AP438" s="77"/>
      <c r="AQ438" s="77"/>
      <c r="AR438" s="77"/>
      <c r="AS438" s="77"/>
      <c r="AT438" s="77"/>
      <c r="AU438" s="77"/>
      <c r="AV438" s="80" t="str">
        <f>HYPERLINK("https://pbs.twimg.com/profile_images/1638555528002404354/zYyRgIoe_normal.jpg")</f>
        <v>https://pbs.twimg.com/profile_images/1638555528002404354/zYyRgIoe_normal.jpg</v>
      </c>
      <c r="AW438" s="82" t="s">
        <v>4772</v>
      </c>
      <c r="AX438" s="82" t="s">
        <v>4772</v>
      </c>
      <c r="AY438" s="77"/>
      <c r="AZ438" s="82" t="s">
        <v>5615</v>
      </c>
      <c r="BA438" s="82" t="s">
        <v>5615</v>
      </c>
      <c r="BB438" s="82" t="s">
        <v>5615</v>
      </c>
      <c r="BC438" s="82" t="s">
        <v>4772</v>
      </c>
      <c r="BD438" s="77">
        <v>4357245737</v>
      </c>
      <c r="BE438" s="77"/>
      <c r="BF438" s="77"/>
      <c r="BG438" s="77"/>
      <c r="BH438" s="77"/>
      <c r="BI438" s="77"/>
    </row>
    <row r="439" spans="1:61" x14ac:dyDescent="0.25">
      <c r="A439" s="62" t="s">
        <v>418</v>
      </c>
      <c r="B439" s="62" t="s">
        <v>418</v>
      </c>
      <c r="C439" s="63"/>
      <c r="D439" s="64"/>
      <c r="E439" s="65"/>
      <c r="F439" s="66"/>
      <c r="G439" s="63"/>
      <c r="H439" s="67"/>
      <c r="I439" s="68"/>
      <c r="J439" s="68"/>
      <c r="K439" s="32"/>
      <c r="L439" s="75">
        <v>439</v>
      </c>
      <c r="M439" s="75"/>
      <c r="N439" s="70"/>
      <c r="O439" s="77" t="s">
        <v>179</v>
      </c>
      <c r="P439" s="79">
        <v>45102.918749999997</v>
      </c>
      <c r="Q439" s="77" t="s">
        <v>1021</v>
      </c>
      <c r="R439" s="77">
        <v>0</v>
      </c>
      <c r="S439" s="77">
        <v>0</v>
      </c>
      <c r="T439" s="77">
        <v>0</v>
      </c>
      <c r="U439" s="77">
        <v>0</v>
      </c>
      <c r="V439" s="77">
        <v>13</v>
      </c>
      <c r="W439" s="82" t="s">
        <v>1841</v>
      </c>
      <c r="X439" s="77"/>
      <c r="Y439" s="77"/>
      <c r="Z439" s="77"/>
      <c r="AA439" s="77"/>
      <c r="AB439" s="77"/>
      <c r="AC439" s="82" t="s">
        <v>2722</v>
      </c>
      <c r="AD439" s="77" t="s">
        <v>2752</v>
      </c>
      <c r="AE439" s="80" t="str">
        <f>HYPERLINK("https://twitter.com/juliocrrf/status/1673089434437419008")</f>
        <v>https://twitter.com/juliocrrf/status/1673089434437419008</v>
      </c>
      <c r="AF439" s="79">
        <v>45102.918749999997</v>
      </c>
      <c r="AG439" s="85">
        <v>45102</v>
      </c>
      <c r="AH439" s="82" t="s">
        <v>3192</v>
      </c>
      <c r="AI439" s="77"/>
      <c r="AJ439" s="77"/>
      <c r="AK439" s="77"/>
      <c r="AL439" s="77"/>
      <c r="AM439" s="77"/>
      <c r="AN439" s="77"/>
      <c r="AO439" s="77"/>
      <c r="AP439" s="77"/>
      <c r="AQ439" s="77"/>
      <c r="AR439" s="77"/>
      <c r="AS439" s="77"/>
      <c r="AT439" s="77"/>
      <c r="AU439" s="77"/>
      <c r="AV439" s="80" t="str">
        <f>HYPERLINK("https://pbs.twimg.com/profile_images/1638555528002404354/zYyRgIoe_normal.jpg")</f>
        <v>https://pbs.twimg.com/profile_images/1638555528002404354/zYyRgIoe_normal.jpg</v>
      </c>
      <c r="AW439" s="82" t="s">
        <v>4773</v>
      </c>
      <c r="AX439" s="82" t="s">
        <v>4773</v>
      </c>
      <c r="AY439" s="77"/>
      <c r="AZ439" s="82" t="s">
        <v>5615</v>
      </c>
      <c r="BA439" s="82" t="s">
        <v>5615</v>
      </c>
      <c r="BB439" s="82" t="s">
        <v>5615</v>
      </c>
      <c r="BC439" s="82" t="s">
        <v>4773</v>
      </c>
      <c r="BD439" s="77">
        <v>4357245737</v>
      </c>
      <c r="BE439" s="77"/>
      <c r="BF439" s="77"/>
      <c r="BG439" s="77"/>
      <c r="BH439" s="77"/>
      <c r="BI439" s="77"/>
    </row>
    <row r="440" spans="1:61" x14ac:dyDescent="0.25">
      <c r="A440" s="62" t="s">
        <v>418</v>
      </c>
      <c r="B440" s="62" t="s">
        <v>418</v>
      </c>
      <c r="C440" s="63"/>
      <c r="D440" s="64"/>
      <c r="E440" s="65"/>
      <c r="F440" s="66"/>
      <c r="G440" s="63"/>
      <c r="H440" s="67"/>
      <c r="I440" s="68"/>
      <c r="J440" s="68"/>
      <c r="K440" s="32"/>
      <c r="L440" s="75">
        <v>440</v>
      </c>
      <c r="M440" s="75"/>
      <c r="N440" s="70"/>
      <c r="O440" s="77" t="s">
        <v>179</v>
      </c>
      <c r="P440" s="79">
        <v>45101.580057870371</v>
      </c>
      <c r="Q440" s="77" t="s">
        <v>1022</v>
      </c>
      <c r="R440" s="77">
        <v>0</v>
      </c>
      <c r="S440" s="77">
        <v>0</v>
      </c>
      <c r="T440" s="77">
        <v>0</v>
      </c>
      <c r="U440" s="77">
        <v>0</v>
      </c>
      <c r="V440" s="77">
        <v>21</v>
      </c>
      <c r="W440" s="82" t="s">
        <v>1842</v>
      </c>
      <c r="X440" s="77"/>
      <c r="Y440" s="77"/>
      <c r="Z440" s="77"/>
      <c r="AA440" s="77"/>
      <c r="AB440" s="77"/>
      <c r="AC440" s="82" t="s">
        <v>2722</v>
      </c>
      <c r="AD440" s="77" t="s">
        <v>2752</v>
      </c>
      <c r="AE440" s="80" t="str">
        <f>HYPERLINK("https://twitter.com/juliocrrf/status/1672604310272655360")</f>
        <v>https://twitter.com/juliocrrf/status/1672604310272655360</v>
      </c>
      <c r="AF440" s="79">
        <v>45101.580057870371</v>
      </c>
      <c r="AG440" s="85">
        <v>45101</v>
      </c>
      <c r="AH440" s="82" t="s">
        <v>3193</v>
      </c>
      <c r="AI440" s="77"/>
      <c r="AJ440" s="77"/>
      <c r="AK440" s="77"/>
      <c r="AL440" s="77"/>
      <c r="AM440" s="77"/>
      <c r="AN440" s="77"/>
      <c r="AO440" s="77"/>
      <c r="AP440" s="77"/>
      <c r="AQ440" s="77"/>
      <c r="AR440" s="77"/>
      <c r="AS440" s="77"/>
      <c r="AT440" s="77"/>
      <c r="AU440" s="77"/>
      <c r="AV440" s="80" t="str">
        <f>HYPERLINK("https://pbs.twimg.com/profile_images/1638555528002404354/zYyRgIoe_normal.jpg")</f>
        <v>https://pbs.twimg.com/profile_images/1638555528002404354/zYyRgIoe_normal.jpg</v>
      </c>
      <c r="AW440" s="82" t="s">
        <v>4774</v>
      </c>
      <c r="AX440" s="82" t="s">
        <v>4774</v>
      </c>
      <c r="AY440" s="77"/>
      <c r="AZ440" s="82" t="s">
        <v>5615</v>
      </c>
      <c r="BA440" s="82" t="s">
        <v>5615</v>
      </c>
      <c r="BB440" s="82" t="s">
        <v>5615</v>
      </c>
      <c r="BC440" s="82" t="s">
        <v>4774</v>
      </c>
      <c r="BD440" s="77">
        <v>4357245737</v>
      </c>
      <c r="BE440" s="77"/>
      <c r="BF440" s="77"/>
      <c r="BG440" s="77"/>
      <c r="BH440" s="77"/>
      <c r="BI440" s="77"/>
    </row>
    <row r="441" spans="1:61" x14ac:dyDescent="0.25">
      <c r="A441" s="62" t="s">
        <v>418</v>
      </c>
      <c r="B441" s="62" t="s">
        <v>418</v>
      </c>
      <c r="C441" s="63"/>
      <c r="D441" s="64"/>
      <c r="E441" s="65"/>
      <c r="F441" s="66"/>
      <c r="G441" s="63"/>
      <c r="H441" s="67"/>
      <c r="I441" s="68"/>
      <c r="J441" s="68"/>
      <c r="K441" s="32"/>
      <c r="L441" s="75">
        <v>441</v>
      </c>
      <c r="M441" s="75"/>
      <c r="N441" s="70"/>
      <c r="O441" s="77" t="s">
        <v>179</v>
      </c>
      <c r="P441" s="79">
        <v>45112.677083333336</v>
      </c>
      <c r="Q441" s="77" t="s">
        <v>1023</v>
      </c>
      <c r="R441" s="77">
        <v>0</v>
      </c>
      <c r="S441" s="77">
        <v>0</v>
      </c>
      <c r="T441" s="77">
        <v>0</v>
      </c>
      <c r="U441" s="77">
        <v>0</v>
      </c>
      <c r="V441" s="77">
        <v>11</v>
      </c>
      <c r="W441" s="82" t="s">
        <v>1843</v>
      </c>
      <c r="X441" s="77"/>
      <c r="Y441" s="77"/>
      <c r="Z441" s="77"/>
      <c r="AA441" s="77"/>
      <c r="AB441" s="77"/>
      <c r="AC441" s="82" t="s">
        <v>2722</v>
      </c>
      <c r="AD441" s="77" t="s">
        <v>2752</v>
      </c>
      <c r="AE441" s="80" t="str">
        <f>HYPERLINK("https://twitter.com/juliocrrf/status/1676625735614881793")</f>
        <v>https://twitter.com/juliocrrf/status/1676625735614881793</v>
      </c>
      <c r="AF441" s="79">
        <v>45112.677083333336</v>
      </c>
      <c r="AG441" s="85">
        <v>45112</v>
      </c>
      <c r="AH441" s="82" t="s">
        <v>3194</v>
      </c>
      <c r="AI441" s="77"/>
      <c r="AJ441" s="77"/>
      <c r="AK441" s="77"/>
      <c r="AL441" s="77"/>
      <c r="AM441" s="77"/>
      <c r="AN441" s="77"/>
      <c r="AO441" s="77"/>
      <c r="AP441" s="77"/>
      <c r="AQ441" s="77"/>
      <c r="AR441" s="77"/>
      <c r="AS441" s="77"/>
      <c r="AT441" s="77"/>
      <c r="AU441" s="77"/>
      <c r="AV441" s="80" t="str">
        <f>HYPERLINK("https://pbs.twimg.com/profile_images/1638555528002404354/zYyRgIoe_normal.jpg")</f>
        <v>https://pbs.twimg.com/profile_images/1638555528002404354/zYyRgIoe_normal.jpg</v>
      </c>
      <c r="AW441" s="82" t="s">
        <v>4775</v>
      </c>
      <c r="AX441" s="82" t="s">
        <v>4775</v>
      </c>
      <c r="AY441" s="77"/>
      <c r="AZ441" s="82" t="s">
        <v>5615</v>
      </c>
      <c r="BA441" s="82" t="s">
        <v>5615</v>
      </c>
      <c r="BB441" s="82" t="s">
        <v>5615</v>
      </c>
      <c r="BC441" s="82" t="s">
        <v>4775</v>
      </c>
      <c r="BD441" s="77">
        <v>4357245737</v>
      </c>
      <c r="BE441" s="77"/>
      <c r="BF441" s="77"/>
      <c r="BG441" s="77"/>
      <c r="BH441" s="77"/>
      <c r="BI441" s="77"/>
    </row>
    <row r="442" spans="1:61" x14ac:dyDescent="0.25">
      <c r="A442" s="62" t="s">
        <v>418</v>
      </c>
      <c r="B442" s="62" t="s">
        <v>418</v>
      </c>
      <c r="C442" s="63"/>
      <c r="D442" s="64"/>
      <c r="E442" s="65"/>
      <c r="F442" s="66"/>
      <c r="G442" s="63"/>
      <c r="H442" s="67"/>
      <c r="I442" s="68"/>
      <c r="J442" s="68"/>
      <c r="K442" s="32"/>
      <c r="L442" s="75">
        <v>442</v>
      </c>
      <c r="M442" s="75"/>
      <c r="N442" s="70"/>
      <c r="O442" s="77" t="s">
        <v>179</v>
      </c>
      <c r="P442" s="79">
        <v>45108.666678240741</v>
      </c>
      <c r="Q442" s="77" t="s">
        <v>1024</v>
      </c>
      <c r="R442" s="77">
        <v>0</v>
      </c>
      <c r="S442" s="77">
        <v>0</v>
      </c>
      <c r="T442" s="77">
        <v>0</v>
      </c>
      <c r="U442" s="77">
        <v>0</v>
      </c>
      <c r="V442" s="77">
        <v>11</v>
      </c>
      <c r="W442" s="82" t="s">
        <v>1844</v>
      </c>
      <c r="X442" s="77"/>
      <c r="Y442" s="77"/>
      <c r="Z442" s="77"/>
      <c r="AA442" s="77"/>
      <c r="AB442" s="77"/>
      <c r="AC442" s="82" t="s">
        <v>2722</v>
      </c>
      <c r="AD442" s="77" t="s">
        <v>2752</v>
      </c>
      <c r="AE442" s="80" t="str">
        <f>HYPERLINK("https://twitter.com/juliocrrf/status/1675172413322014720")</f>
        <v>https://twitter.com/juliocrrf/status/1675172413322014720</v>
      </c>
      <c r="AF442" s="79">
        <v>45108.666678240741</v>
      </c>
      <c r="AG442" s="85">
        <v>45108</v>
      </c>
      <c r="AH442" s="82" t="s">
        <v>3175</v>
      </c>
      <c r="AI442" s="77"/>
      <c r="AJ442" s="77"/>
      <c r="AK442" s="77"/>
      <c r="AL442" s="77"/>
      <c r="AM442" s="77"/>
      <c r="AN442" s="77"/>
      <c r="AO442" s="77"/>
      <c r="AP442" s="77"/>
      <c r="AQ442" s="77"/>
      <c r="AR442" s="77"/>
      <c r="AS442" s="77"/>
      <c r="AT442" s="77"/>
      <c r="AU442" s="77"/>
      <c r="AV442" s="80" t="str">
        <f>HYPERLINK("https://pbs.twimg.com/profile_images/1638555528002404354/zYyRgIoe_normal.jpg")</f>
        <v>https://pbs.twimg.com/profile_images/1638555528002404354/zYyRgIoe_normal.jpg</v>
      </c>
      <c r="AW442" s="82" t="s">
        <v>4776</v>
      </c>
      <c r="AX442" s="82" t="s">
        <v>4776</v>
      </c>
      <c r="AY442" s="77"/>
      <c r="AZ442" s="82" t="s">
        <v>5615</v>
      </c>
      <c r="BA442" s="82" t="s">
        <v>5615</v>
      </c>
      <c r="BB442" s="82" t="s">
        <v>5615</v>
      </c>
      <c r="BC442" s="82" t="s">
        <v>4776</v>
      </c>
      <c r="BD442" s="77">
        <v>4357245737</v>
      </c>
      <c r="BE442" s="77"/>
      <c r="BF442" s="77"/>
      <c r="BG442" s="77"/>
      <c r="BH442" s="77"/>
      <c r="BI442" s="77"/>
    </row>
    <row r="443" spans="1:61" x14ac:dyDescent="0.25">
      <c r="A443" s="62" t="s">
        <v>418</v>
      </c>
      <c r="B443" s="62" t="s">
        <v>418</v>
      </c>
      <c r="C443" s="63"/>
      <c r="D443" s="64"/>
      <c r="E443" s="65"/>
      <c r="F443" s="66"/>
      <c r="G443" s="63"/>
      <c r="H443" s="67"/>
      <c r="I443" s="68"/>
      <c r="J443" s="68"/>
      <c r="K443" s="32"/>
      <c r="L443" s="75">
        <v>443</v>
      </c>
      <c r="M443" s="75"/>
      <c r="N443" s="70"/>
      <c r="O443" s="77" t="s">
        <v>179</v>
      </c>
      <c r="P443" s="79">
        <v>45108.477777777778</v>
      </c>
      <c r="Q443" s="77" t="s">
        <v>1025</v>
      </c>
      <c r="R443" s="77">
        <v>0</v>
      </c>
      <c r="S443" s="77">
        <v>0</v>
      </c>
      <c r="T443" s="77">
        <v>0</v>
      </c>
      <c r="U443" s="77">
        <v>0</v>
      </c>
      <c r="V443" s="77">
        <v>20</v>
      </c>
      <c r="W443" s="82" t="s">
        <v>1845</v>
      </c>
      <c r="X443" s="77"/>
      <c r="Y443" s="77"/>
      <c r="Z443" s="77"/>
      <c r="AA443" s="77"/>
      <c r="AB443" s="77"/>
      <c r="AC443" s="82" t="s">
        <v>2722</v>
      </c>
      <c r="AD443" s="77" t="s">
        <v>2752</v>
      </c>
      <c r="AE443" s="80" t="str">
        <f>HYPERLINK("https://twitter.com/juliocrrf/status/1675103958204030978")</f>
        <v>https://twitter.com/juliocrrf/status/1675103958204030978</v>
      </c>
      <c r="AF443" s="79">
        <v>45108.477777777778</v>
      </c>
      <c r="AG443" s="85">
        <v>45108</v>
      </c>
      <c r="AH443" s="82" t="s">
        <v>3195</v>
      </c>
      <c r="AI443" s="77"/>
      <c r="AJ443" s="77"/>
      <c r="AK443" s="77"/>
      <c r="AL443" s="77"/>
      <c r="AM443" s="77"/>
      <c r="AN443" s="77"/>
      <c r="AO443" s="77"/>
      <c r="AP443" s="77"/>
      <c r="AQ443" s="77"/>
      <c r="AR443" s="77"/>
      <c r="AS443" s="77"/>
      <c r="AT443" s="77"/>
      <c r="AU443" s="77"/>
      <c r="AV443" s="80" t="str">
        <f>HYPERLINK("https://pbs.twimg.com/profile_images/1638555528002404354/zYyRgIoe_normal.jpg")</f>
        <v>https://pbs.twimg.com/profile_images/1638555528002404354/zYyRgIoe_normal.jpg</v>
      </c>
      <c r="AW443" s="82" t="s">
        <v>4777</v>
      </c>
      <c r="AX443" s="82" t="s">
        <v>4777</v>
      </c>
      <c r="AY443" s="77"/>
      <c r="AZ443" s="82" t="s">
        <v>5615</v>
      </c>
      <c r="BA443" s="82" t="s">
        <v>5615</v>
      </c>
      <c r="BB443" s="82" t="s">
        <v>5615</v>
      </c>
      <c r="BC443" s="82" t="s">
        <v>4777</v>
      </c>
      <c r="BD443" s="77">
        <v>4357245737</v>
      </c>
      <c r="BE443" s="77"/>
      <c r="BF443" s="77"/>
      <c r="BG443" s="77"/>
      <c r="BH443" s="77"/>
      <c r="BI443" s="77"/>
    </row>
    <row r="444" spans="1:61" x14ac:dyDescent="0.25">
      <c r="A444" s="62" t="s">
        <v>418</v>
      </c>
      <c r="B444" s="62" t="s">
        <v>418</v>
      </c>
      <c r="C444" s="63"/>
      <c r="D444" s="64"/>
      <c r="E444" s="65"/>
      <c r="F444" s="66"/>
      <c r="G444" s="63"/>
      <c r="H444" s="67"/>
      <c r="I444" s="68"/>
      <c r="J444" s="68"/>
      <c r="K444" s="32"/>
      <c r="L444" s="75">
        <v>444</v>
      </c>
      <c r="M444" s="75"/>
      <c r="N444" s="70"/>
      <c r="O444" s="77" t="s">
        <v>179</v>
      </c>
      <c r="P444" s="79">
        <v>45107.916689814818</v>
      </c>
      <c r="Q444" s="77" t="s">
        <v>1026</v>
      </c>
      <c r="R444" s="77">
        <v>0</v>
      </c>
      <c r="S444" s="77">
        <v>0</v>
      </c>
      <c r="T444" s="77">
        <v>1</v>
      </c>
      <c r="U444" s="77">
        <v>0</v>
      </c>
      <c r="V444" s="77">
        <v>22</v>
      </c>
      <c r="W444" s="82" t="s">
        <v>1846</v>
      </c>
      <c r="X444" s="77"/>
      <c r="Y444" s="77"/>
      <c r="Z444" s="77"/>
      <c r="AA444" s="77"/>
      <c r="AB444" s="77"/>
      <c r="AC444" s="82" t="s">
        <v>2722</v>
      </c>
      <c r="AD444" s="77" t="s">
        <v>2752</v>
      </c>
      <c r="AE444" s="80" t="str">
        <f>HYPERLINK("https://twitter.com/juliocrrf/status/1674900627619557379")</f>
        <v>https://twitter.com/juliocrrf/status/1674900627619557379</v>
      </c>
      <c r="AF444" s="79">
        <v>45107.916689814818</v>
      </c>
      <c r="AG444" s="85">
        <v>45107</v>
      </c>
      <c r="AH444" s="82" t="s">
        <v>3196</v>
      </c>
      <c r="AI444" s="77"/>
      <c r="AJ444" s="77"/>
      <c r="AK444" s="77"/>
      <c r="AL444" s="77"/>
      <c r="AM444" s="77"/>
      <c r="AN444" s="77"/>
      <c r="AO444" s="77"/>
      <c r="AP444" s="77"/>
      <c r="AQ444" s="77"/>
      <c r="AR444" s="77"/>
      <c r="AS444" s="77"/>
      <c r="AT444" s="77"/>
      <c r="AU444" s="77"/>
      <c r="AV444" s="80" t="str">
        <f>HYPERLINK("https://pbs.twimg.com/profile_images/1638555528002404354/zYyRgIoe_normal.jpg")</f>
        <v>https://pbs.twimg.com/profile_images/1638555528002404354/zYyRgIoe_normal.jpg</v>
      </c>
      <c r="AW444" s="82" t="s">
        <v>4778</v>
      </c>
      <c r="AX444" s="82" t="s">
        <v>4778</v>
      </c>
      <c r="AY444" s="77"/>
      <c r="AZ444" s="82" t="s">
        <v>5615</v>
      </c>
      <c r="BA444" s="82" t="s">
        <v>5615</v>
      </c>
      <c r="BB444" s="82" t="s">
        <v>5615</v>
      </c>
      <c r="BC444" s="82" t="s">
        <v>4778</v>
      </c>
      <c r="BD444" s="77">
        <v>4357245737</v>
      </c>
      <c r="BE444" s="77"/>
      <c r="BF444" s="77"/>
      <c r="BG444" s="77"/>
      <c r="BH444" s="77"/>
      <c r="BI444" s="77"/>
    </row>
    <row r="445" spans="1:61" x14ac:dyDescent="0.25">
      <c r="A445" s="62" t="s">
        <v>418</v>
      </c>
      <c r="B445" s="62" t="s">
        <v>418</v>
      </c>
      <c r="C445" s="63"/>
      <c r="D445" s="64"/>
      <c r="E445" s="65"/>
      <c r="F445" s="66"/>
      <c r="G445" s="63"/>
      <c r="H445" s="67"/>
      <c r="I445" s="68"/>
      <c r="J445" s="68"/>
      <c r="K445" s="32"/>
      <c r="L445" s="75">
        <v>445</v>
      </c>
      <c r="M445" s="75"/>
      <c r="N445" s="70"/>
      <c r="O445" s="77" t="s">
        <v>179</v>
      </c>
      <c r="P445" s="79">
        <v>45105.677777777775</v>
      </c>
      <c r="Q445" s="77" t="s">
        <v>1027</v>
      </c>
      <c r="R445" s="77">
        <v>0</v>
      </c>
      <c r="S445" s="77">
        <v>0</v>
      </c>
      <c r="T445" s="77">
        <v>0</v>
      </c>
      <c r="U445" s="77">
        <v>0</v>
      </c>
      <c r="V445" s="77">
        <v>12</v>
      </c>
      <c r="W445" s="82" t="s">
        <v>1847</v>
      </c>
      <c r="X445" s="77"/>
      <c r="Y445" s="77"/>
      <c r="Z445" s="77"/>
      <c r="AA445" s="77"/>
      <c r="AB445" s="77"/>
      <c r="AC445" s="82" t="s">
        <v>2722</v>
      </c>
      <c r="AD445" s="77" t="s">
        <v>2752</v>
      </c>
      <c r="AE445" s="80" t="str">
        <f>HYPERLINK("https://twitter.com/juliocrrf/status/1674089272666619908")</f>
        <v>https://twitter.com/juliocrrf/status/1674089272666619908</v>
      </c>
      <c r="AF445" s="79">
        <v>45105.677777777775</v>
      </c>
      <c r="AG445" s="85">
        <v>45105</v>
      </c>
      <c r="AH445" s="82" t="s">
        <v>3197</v>
      </c>
      <c r="AI445" s="77"/>
      <c r="AJ445" s="77"/>
      <c r="AK445" s="77"/>
      <c r="AL445" s="77"/>
      <c r="AM445" s="77"/>
      <c r="AN445" s="77"/>
      <c r="AO445" s="77"/>
      <c r="AP445" s="77"/>
      <c r="AQ445" s="77"/>
      <c r="AR445" s="77"/>
      <c r="AS445" s="77"/>
      <c r="AT445" s="77"/>
      <c r="AU445" s="77"/>
      <c r="AV445" s="80" t="str">
        <f>HYPERLINK("https://pbs.twimg.com/profile_images/1638555528002404354/zYyRgIoe_normal.jpg")</f>
        <v>https://pbs.twimg.com/profile_images/1638555528002404354/zYyRgIoe_normal.jpg</v>
      </c>
      <c r="AW445" s="82" t="s">
        <v>4779</v>
      </c>
      <c r="AX445" s="82" t="s">
        <v>4779</v>
      </c>
      <c r="AY445" s="77"/>
      <c r="AZ445" s="82" t="s">
        <v>5615</v>
      </c>
      <c r="BA445" s="82" t="s">
        <v>5615</v>
      </c>
      <c r="BB445" s="82" t="s">
        <v>5615</v>
      </c>
      <c r="BC445" s="82" t="s">
        <v>4779</v>
      </c>
      <c r="BD445" s="77">
        <v>4357245737</v>
      </c>
      <c r="BE445" s="77"/>
      <c r="BF445" s="77"/>
      <c r="BG445" s="77"/>
      <c r="BH445" s="77"/>
      <c r="BI445" s="77"/>
    </row>
    <row r="446" spans="1:61" x14ac:dyDescent="0.25">
      <c r="A446" s="62" t="s">
        <v>418</v>
      </c>
      <c r="B446" s="62" t="s">
        <v>418</v>
      </c>
      <c r="C446" s="63"/>
      <c r="D446" s="64"/>
      <c r="E446" s="65"/>
      <c r="F446" s="66"/>
      <c r="G446" s="63"/>
      <c r="H446" s="67"/>
      <c r="I446" s="68"/>
      <c r="J446" s="68"/>
      <c r="K446" s="32"/>
      <c r="L446" s="75">
        <v>446</v>
      </c>
      <c r="M446" s="75"/>
      <c r="N446" s="70"/>
      <c r="O446" s="77" t="s">
        <v>179</v>
      </c>
      <c r="P446" s="79">
        <v>45105.509722222225</v>
      </c>
      <c r="Q446" s="77" t="s">
        <v>1028</v>
      </c>
      <c r="R446" s="77">
        <v>0</v>
      </c>
      <c r="S446" s="77">
        <v>0</v>
      </c>
      <c r="T446" s="77">
        <v>0</v>
      </c>
      <c r="U446" s="77">
        <v>0</v>
      </c>
      <c r="V446" s="77">
        <v>9</v>
      </c>
      <c r="W446" s="82" t="s">
        <v>1848</v>
      </c>
      <c r="X446" s="77"/>
      <c r="Y446" s="77"/>
      <c r="Z446" s="77"/>
      <c r="AA446" s="77"/>
      <c r="AB446" s="77"/>
      <c r="AC446" s="82" t="s">
        <v>2722</v>
      </c>
      <c r="AD446" s="77" t="s">
        <v>2752</v>
      </c>
      <c r="AE446" s="80" t="str">
        <f>HYPERLINK("https://twitter.com/juliocrrf/status/1674028371070558208")</f>
        <v>https://twitter.com/juliocrrf/status/1674028371070558208</v>
      </c>
      <c r="AF446" s="79">
        <v>45105.509722222225</v>
      </c>
      <c r="AG446" s="85">
        <v>45105</v>
      </c>
      <c r="AH446" s="82" t="s">
        <v>3198</v>
      </c>
      <c r="AI446" s="77"/>
      <c r="AJ446" s="77"/>
      <c r="AK446" s="77"/>
      <c r="AL446" s="77"/>
      <c r="AM446" s="77"/>
      <c r="AN446" s="77"/>
      <c r="AO446" s="77"/>
      <c r="AP446" s="77"/>
      <c r="AQ446" s="77"/>
      <c r="AR446" s="77"/>
      <c r="AS446" s="77"/>
      <c r="AT446" s="77"/>
      <c r="AU446" s="77"/>
      <c r="AV446" s="80" t="str">
        <f>HYPERLINK("https://pbs.twimg.com/profile_images/1638555528002404354/zYyRgIoe_normal.jpg")</f>
        <v>https://pbs.twimg.com/profile_images/1638555528002404354/zYyRgIoe_normal.jpg</v>
      </c>
      <c r="AW446" s="82" t="s">
        <v>4780</v>
      </c>
      <c r="AX446" s="82" t="s">
        <v>4780</v>
      </c>
      <c r="AY446" s="77"/>
      <c r="AZ446" s="82" t="s">
        <v>5615</v>
      </c>
      <c r="BA446" s="82" t="s">
        <v>5615</v>
      </c>
      <c r="BB446" s="82" t="s">
        <v>5615</v>
      </c>
      <c r="BC446" s="82" t="s">
        <v>4780</v>
      </c>
      <c r="BD446" s="77">
        <v>4357245737</v>
      </c>
      <c r="BE446" s="77"/>
      <c r="BF446" s="77"/>
      <c r="BG446" s="77"/>
      <c r="BH446" s="77"/>
      <c r="BI446" s="77"/>
    </row>
    <row r="447" spans="1:61" x14ac:dyDescent="0.25">
      <c r="A447" s="62" t="s">
        <v>418</v>
      </c>
      <c r="B447" s="62" t="s">
        <v>418</v>
      </c>
      <c r="C447" s="63"/>
      <c r="D447" s="64"/>
      <c r="E447" s="65"/>
      <c r="F447" s="66"/>
      <c r="G447" s="63"/>
      <c r="H447" s="67"/>
      <c r="I447" s="68"/>
      <c r="J447" s="68"/>
      <c r="K447" s="32"/>
      <c r="L447" s="75">
        <v>447</v>
      </c>
      <c r="M447" s="75"/>
      <c r="N447" s="70"/>
      <c r="O447" s="77" t="s">
        <v>179</v>
      </c>
      <c r="P447" s="79">
        <v>45104.925694444442</v>
      </c>
      <c r="Q447" s="77" t="s">
        <v>1029</v>
      </c>
      <c r="R447" s="77">
        <v>0</v>
      </c>
      <c r="S447" s="77">
        <v>0</v>
      </c>
      <c r="T447" s="77">
        <v>0</v>
      </c>
      <c r="U447" s="77">
        <v>0</v>
      </c>
      <c r="V447" s="77">
        <v>17</v>
      </c>
      <c r="W447" s="82" t="s">
        <v>1849</v>
      </c>
      <c r="X447" s="77"/>
      <c r="Y447" s="77"/>
      <c r="Z447" s="77"/>
      <c r="AA447" s="77"/>
      <c r="AB447" s="77"/>
      <c r="AC447" s="82" t="s">
        <v>2722</v>
      </c>
      <c r="AD447" s="77" t="s">
        <v>2752</v>
      </c>
      <c r="AE447" s="80" t="str">
        <f>HYPERLINK("https://twitter.com/juliocrrf/status/1673816726373384193")</f>
        <v>https://twitter.com/juliocrrf/status/1673816726373384193</v>
      </c>
      <c r="AF447" s="79">
        <v>45104.925694444442</v>
      </c>
      <c r="AG447" s="85">
        <v>45104</v>
      </c>
      <c r="AH447" s="82" t="s">
        <v>3199</v>
      </c>
      <c r="AI447" s="77"/>
      <c r="AJ447" s="77"/>
      <c r="AK447" s="77"/>
      <c r="AL447" s="77"/>
      <c r="AM447" s="77"/>
      <c r="AN447" s="77"/>
      <c r="AO447" s="77"/>
      <c r="AP447" s="77"/>
      <c r="AQ447" s="77"/>
      <c r="AR447" s="77"/>
      <c r="AS447" s="77"/>
      <c r="AT447" s="77"/>
      <c r="AU447" s="77"/>
      <c r="AV447" s="80" t="str">
        <f>HYPERLINK("https://pbs.twimg.com/profile_images/1638555528002404354/zYyRgIoe_normal.jpg")</f>
        <v>https://pbs.twimg.com/profile_images/1638555528002404354/zYyRgIoe_normal.jpg</v>
      </c>
      <c r="AW447" s="82" t="s">
        <v>4781</v>
      </c>
      <c r="AX447" s="82" t="s">
        <v>4781</v>
      </c>
      <c r="AY447" s="77"/>
      <c r="AZ447" s="82" t="s">
        <v>5615</v>
      </c>
      <c r="BA447" s="82" t="s">
        <v>5615</v>
      </c>
      <c r="BB447" s="82" t="s">
        <v>5615</v>
      </c>
      <c r="BC447" s="82" t="s">
        <v>4781</v>
      </c>
      <c r="BD447" s="77">
        <v>4357245737</v>
      </c>
      <c r="BE447" s="77"/>
      <c r="BF447" s="77"/>
      <c r="BG447" s="77"/>
      <c r="BH447" s="77"/>
      <c r="BI447" s="77"/>
    </row>
    <row r="448" spans="1:61" x14ac:dyDescent="0.25">
      <c r="A448" s="62" t="s">
        <v>419</v>
      </c>
      <c r="B448" s="62" t="s">
        <v>419</v>
      </c>
      <c r="C448" s="63"/>
      <c r="D448" s="64"/>
      <c r="E448" s="65"/>
      <c r="F448" s="66"/>
      <c r="G448" s="63"/>
      <c r="H448" s="67"/>
      <c r="I448" s="68"/>
      <c r="J448" s="68"/>
      <c r="K448" s="32"/>
      <c r="L448" s="75">
        <v>448</v>
      </c>
      <c r="M448" s="75"/>
      <c r="N448" s="70"/>
      <c r="O448" s="77" t="s">
        <v>179</v>
      </c>
      <c r="P448" s="79">
        <v>44951.232569444444</v>
      </c>
      <c r="Q448" s="77" t="s">
        <v>1030</v>
      </c>
      <c r="R448" s="77">
        <v>0</v>
      </c>
      <c r="S448" s="77">
        <v>1</v>
      </c>
      <c r="T448" s="77">
        <v>0</v>
      </c>
      <c r="U448" s="77">
        <v>0</v>
      </c>
      <c r="V448" s="77">
        <v>11</v>
      </c>
      <c r="W448" s="82" t="s">
        <v>1850</v>
      </c>
      <c r="X448" s="77"/>
      <c r="Y448" s="77"/>
      <c r="Z448" s="77"/>
      <c r="AA448" s="77" t="s">
        <v>2494</v>
      </c>
      <c r="AB448" s="77" t="s">
        <v>2714</v>
      </c>
      <c r="AC448" s="82" t="s">
        <v>2719</v>
      </c>
      <c r="AD448" s="77" t="s">
        <v>2754</v>
      </c>
      <c r="AE448" s="80" t="str">
        <f>HYPERLINK("https://twitter.com/hmotivationmz/status/1618120202893557761")</f>
        <v>https://twitter.com/hmotivationmz/status/1618120202893557761</v>
      </c>
      <c r="AF448" s="79">
        <v>44951.232569444444</v>
      </c>
      <c r="AG448" s="85">
        <v>44951</v>
      </c>
      <c r="AH448" s="82" t="s">
        <v>3200</v>
      </c>
      <c r="AI448" s="77" t="b">
        <v>0</v>
      </c>
      <c r="AJ448" s="77"/>
      <c r="AK448" s="77"/>
      <c r="AL448" s="77"/>
      <c r="AM448" s="77"/>
      <c r="AN448" s="77"/>
      <c r="AO448" s="77"/>
      <c r="AP448" s="77"/>
      <c r="AQ448" s="77" t="s">
        <v>4120</v>
      </c>
      <c r="AR448" s="77"/>
      <c r="AS448" s="77"/>
      <c r="AT448" s="77"/>
      <c r="AU448" s="77"/>
      <c r="AV448" s="80" t="str">
        <f>HYPERLINK("https://pbs.twimg.com/media/FnS3v5gWIAAhrmk.jpg")</f>
        <v>https://pbs.twimg.com/media/FnS3v5gWIAAhrmk.jpg</v>
      </c>
      <c r="AW448" s="82" t="s">
        <v>4782</v>
      </c>
      <c r="AX448" s="82" t="s">
        <v>4782</v>
      </c>
      <c r="AY448" s="77"/>
      <c r="AZ448" s="82" t="s">
        <v>5615</v>
      </c>
      <c r="BA448" s="82" t="s">
        <v>5615</v>
      </c>
      <c r="BB448" s="82" t="s">
        <v>5615</v>
      </c>
      <c r="BC448" s="82" t="s">
        <v>4782</v>
      </c>
      <c r="BD448" s="82" t="s">
        <v>5995</v>
      </c>
      <c r="BE448" s="77"/>
      <c r="BF448" s="77"/>
      <c r="BG448" s="77"/>
      <c r="BH448" s="77"/>
      <c r="BI448" s="77"/>
    </row>
    <row r="449" spans="1:61" x14ac:dyDescent="0.25">
      <c r="A449" s="62" t="s">
        <v>419</v>
      </c>
      <c r="B449" s="62" t="s">
        <v>419</v>
      </c>
      <c r="C449" s="63"/>
      <c r="D449" s="64"/>
      <c r="E449" s="65"/>
      <c r="F449" s="66"/>
      <c r="G449" s="63"/>
      <c r="H449" s="67"/>
      <c r="I449" s="68"/>
      <c r="J449" s="68"/>
      <c r="K449" s="32"/>
      <c r="L449" s="75">
        <v>449</v>
      </c>
      <c r="M449" s="75"/>
      <c r="N449" s="70"/>
      <c r="O449" s="77" t="s">
        <v>179</v>
      </c>
      <c r="P449" s="79">
        <v>44951.22724537037</v>
      </c>
      <c r="Q449" s="77" t="s">
        <v>1031</v>
      </c>
      <c r="R449" s="77">
        <v>0</v>
      </c>
      <c r="S449" s="77">
        <v>1</v>
      </c>
      <c r="T449" s="77">
        <v>0</v>
      </c>
      <c r="U449" s="77">
        <v>0</v>
      </c>
      <c r="V449" s="77">
        <v>6</v>
      </c>
      <c r="W449" s="82" t="s">
        <v>1851</v>
      </c>
      <c r="X449" s="80" t="str">
        <f>HYPERLINK("https://www.instagram.com/p/Cn042sJIw3y/?igshid=YTgzYjQ4ZTY=")</f>
        <v>https://www.instagram.com/p/Cn042sJIw3y/?igshid=YTgzYjQ4ZTY=</v>
      </c>
      <c r="Y449" s="77" t="s">
        <v>2130</v>
      </c>
      <c r="Z449" s="77"/>
      <c r="AA449" s="77"/>
      <c r="AB449" s="77"/>
      <c r="AC449" s="82" t="s">
        <v>2723</v>
      </c>
      <c r="AD449" s="77" t="s">
        <v>2754</v>
      </c>
      <c r="AE449" s="80" t="str">
        <f>HYPERLINK("https://twitter.com/hmotivationmz/status/1618118276101570561")</f>
        <v>https://twitter.com/hmotivationmz/status/1618118276101570561</v>
      </c>
      <c r="AF449" s="79">
        <v>44951.22724537037</v>
      </c>
      <c r="AG449" s="85">
        <v>44951</v>
      </c>
      <c r="AH449" s="82" t="s">
        <v>3201</v>
      </c>
      <c r="AI449" s="77" t="b">
        <v>0</v>
      </c>
      <c r="AJ449" s="77"/>
      <c r="AK449" s="77"/>
      <c r="AL449" s="77"/>
      <c r="AM449" s="77"/>
      <c r="AN449" s="77"/>
      <c r="AO449" s="77"/>
      <c r="AP449" s="77"/>
      <c r="AQ449" s="77"/>
      <c r="AR449" s="77"/>
      <c r="AS449" s="77"/>
      <c r="AT449" s="77"/>
      <c r="AU449" s="77"/>
      <c r="AV449" s="80" t="str">
        <f>HYPERLINK("https://pbs.twimg.com/profile_images/1600920059194576899/EenwhsQr_normal.jpg")</f>
        <v>https://pbs.twimg.com/profile_images/1600920059194576899/EenwhsQr_normal.jpg</v>
      </c>
      <c r="AW449" s="82" t="s">
        <v>4783</v>
      </c>
      <c r="AX449" s="82" t="s">
        <v>4783</v>
      </c>
      <c r="AY449" s="77"/>
      <c r="AZ449" s="82" t="s">
        <v>5615</v>
      </c>
      <c r="BA449" s="82" t="s">
        <v>5615</v>
      </c>
      <c r="BB449" s="82" t="s">
        <v>5615</v>
      </c>
      <c r="BC449" s="82" t="s">
        <v>4783</v>
      </c>
      <c r="BD449" s="82" t="s">
        <v>5995</v>
      </c>
      <c r="BE449" s="77"/>
      <c r="BF449" s="77"/>
      <c r="BG449" s="77"/>
      <c r="BH449" s="77"/>
      <c r="BI449" s="77"/>
    </row>
    <row r="450" spans="1:61" x14ac:dyDescent="0.25">
      <c r="A450" s="62" t="s">
        <v>419</v>
      </c>
      <c r="B450" s="62" t="s">
        <v>419</v>
      </c>
      <c r="C450" s="63"/>
      <c r="D450" s="64"/>
      <c r="E450" s="65"/>
      <c r="F450" s="66"/>
      <c r="G450" s="63"/>
      <c r="H450" s="67"/>
      <c r="I450" s="68"/>
      <c r="J450" s="68"/>
      <c r="K450" s="32"/>
      <c r="L450" s="75">
        <v>450</v>
      </c>
      <c r="M450" s="75"/>
      <c r="N450" s="70"/>
      <c r="O450" s="77" t="s">
        <v>179</v>
      </c>
      <c r="P450" s="79">
        <v>44985.777557870373</v>
      </c>
      <c r="Q450" s="77" t="s">
        <v>1032</v>
      </c>
      <c r="R450" s="77">
        <v>0</v>
      </c>
      <c r="S450" s="77">
        <v>1</v>
      </c>
      <c r="T450" s="77">
        <v>0</v>
      </c>
      <c r="U450" s="77">
        <v>0</v>
      </c>
      <c r="V450" s="77">
        <v>10</v>
      </c>
      <c r="W450" s="82" t="s">
        <v>1852</v>
      </c>
      <c r="X450" s="77"/>
      <c r="Y450" s="77"/>
      <c r="Z450" s="77"/>
      <c r="AA450" s="77" t="s">
        <v>2495</v>
      </c>
      <c r="AB450" s="77" t="s">
        <v>2713</v>
      </c>
      <c r="AC450" s="82" t="s">
        <v>2719</v>
      </c>
      <c r="AD450" s="77" t="s">
        <v>2752</v>
      </c>
      <c r="AE450" s="80" t="str">
        <f>HYPERLINK("https://twitter.com/hmotivationmz/status/1630638888476712960")</f>
        <v>https://twitter.com/hmotivationmz/status/1630638888476712960</v>
      </c>
      <c r="AF450" s="79">
        <v>44985.777557870373</v>
      </c>
      <c r="AG450" s="85">
        <v>44985</v>
      </c>
      <c r="AH450" s="82" t="s">
        <v>3202</v>
      </c>
      <c r="AI450" s="77" t="b">
        <v>0</v>
      </c>
      <c r="AJ450" s="77"/>
      <c r="AK450" s="77"/>
      <c r="AL450" s="77"/>
      <c r="AM450" s="77"/>
      <c r="AN450" s="77"/>
      <c r="AO450" s="77"/>
      <c r="AP450" s="77"/>
      <c r="AQ450" s="77" t="s">
        <v>4121</v>
      </c>
      <c r="AR450" s="77">
        <v>12422</v>
      </c>
      <c r="AS450" s="77"/>
      <c r="AT450" s="77"/>
      <c r="AU450" s="77"/>
      <c r="AV450" s="80" t="str">
        <f>HYPERLINK("https://pbs.twimg.com/ext_tw_video_thumb/1630637029158469650/pu/img/SH88QaO4d--Zfa6o.jpg")</f>
        <v>https://pbs.twimg.com/ext_tw_video_thumb/1630637029158469650/pu/img/SH88QaO4d--Zfa6o.jpg</v>
      </c>
      <c r="AW450" s="82" t="s">
        <v>4784</v>
      </c>
      <c r="AX450" s="82" t="s">
        <v>4784</v>
      </c>
      <c r="AY450" s="77"/>
      <c r="AZ450" s="82" t="s">
        <v>5615</v>
      </c>
      <c r="BA450" s="82" t="s">
        <v>5615</v>
      </c>
      <c r="BB450" s="82" t="s">
        <v>5615</v>
      </c>
      <c r="BC450" s="82" t="s">
        <v>4784</v>
      </c>
      <c r="BD450" s="82" t="s">
        <v>5995</v>
      </c>
      <c r="BE450" s="77"/>
      <c r="BF450" s="77"/>
      <c r="BG450" s="77"/>
      <c r="BH450" s="77"/>
      <c r="BI450" s="77"/>
    </row>
    <row r="451" spans="1:61" x14ac:dyDescent="0.25">
      <c r="A451" s="62" t="s">
        <v>420</v>
      </c>
      <c r="B451" s="62" t="s">
        <v>420</v>
      </c>
      <c r="C451" s="63"/>
      <c r="D451" s="64"/>
      <c r="E451" s="65"/>
      <c r="F451" s="66"/>
      <c r="G451" s="63"/>
      <c r="H451" s="67"/>
      <c r="I451" s="68"/>
      <c r="J451" s="68"/>
      <c r="K451" s="32"/>
      <c r="L451" s="75">
        <v>451</v>
      </c>
      <c r="M451" s="75"/>
      <c r="N451" s="70"/>
      <c r="O451" s="77" t="s">
        <v>179</v>
      </c>
      <c r="P451" s="79">
        <v>44973.57340277778</v>
      </c>
      <c r="Q451" s="77" t="s">
        <v>1033</v>
      </c>
      <c r="R451" s="77">
        <v>0</v>
      </c>
      <c r="S451" s="77">
        <v>0</v>
      </c>
      <c r="T451" s="77">
        <v>0</v>
      </c>
      <c r="U451" s="77">
        <v>0</v>
      </c>
      <c r="V451" s="77">
        <v>11</v>
      </c>
      <c r="W451" s="82" t="s">
        <v>1853</v>
      </c>
      <c r="X451" s="77"/>
      <c r="Y451" s="77"/>
      <c r="Z451" s="77"/>
      <c r="AA451" s="77"/>
      <c r="AB451" s="77"/>
      <c r="AC451" s="82" t="s">
        <v>2720</v>
      </c>
      <c r="AD451" s="77" t="s">
        <v>2752</v>
      </c>
      <c r="AE451" s="80" t="str">
        <f>HYPERLINK("https://twitter.com/mercadosemmedo/status/1626216251021467648")</f>
        <v>https://twitter.com/mercadosemmedo/status/1626216251021467648</v>
      </c>
      <c r="AF451" s="79">
        <v>44973.57340277778</v>
      </c>
      <c r="AG451" s="85">
        <v>44973</v>
      </c>
      <c r="AH451" s="82" t="s">
        <v>3203</v>
      </c>
      <c r="AI451" s="77"/>
      <c r="AJ451" s="77"/>
      <c r="AK451" s="77"/>
      <c r="AL451" s="77"/>
      <c r="AM451" s="77"/>
      <c r="AN451" s="77"/>
      <c r="AO451" s="77"/>
      <c r="AP451" s="77"/>
      <c r="AQ451" s="77"/>
      <c r="AR451" s="77"/>
      <c r="AS451" s="77"/>
      <c r="AT451" s="77"/>
      <c r="AU451" s="77"/>
      <c r="AV451" s="80" t="str">
        <f>HYPERLINK("https://pbs.twimg.com/profile_images/1624955412997963776/u7lYPljo_normal.jpg")</f>
        <v>https://pbs.twimg.com/profile_images/1624955412997963776/u7lYPljo_normal.jpg</v>
      </c>
      <c r="AW451" s="82" t="s">
        <v>4785</v>
      </c>
      <c r="AX451" s="82" t="s">
        <v>4785</v>
      </c>
      <c r="AY451" s="77"/>
      <c r="AZ451" s="82" t="s">
        <v>5615</v>
      </c>
      <c r="BA451" s="82" t="s">
        <v>5615</v>
      </c>
      <c r="BB451" s="82" t="s">
        <v>5615</v>
      </c>
      <c r="BC451" s="82" t="s">
        <v>4785</v>
      </c>
      <c r="BD451" s="82" t="s">
        <v>5996</v>
      </c>
      <c r="BE451" s="77"/>
      <c r="BF451" s="77"/>
      <c r="BG451" s="77"/>
      <c r="BH451" s="77"/>
      <c r="BI451" s="77"/>
    </row>
    <row r="452" spans="1:61" x14ac:dyDescent="0.25">
      <c r="A452" s="62" t="s">
        <v>421</v>
      </c>
      <c r="B452" s="62" t="s">
        <v>421</v>
      </c>
      <c r="C452" s="63"/>
      <c r="D452" s="64"/>
      <c r="E452" s="65"/>
      <c r="F452" s="66"/>
      <c r="G452" s="63"/>
      <c r="H452" s="67"/>
      <c r="I452" s="68"/>
      <c r="J452" s="68"/>
      <c r="K452" s="32"/>
      <c r="L452" s="75">
        <v>452</v>
      </c>
      <c r="M452" s="75"/>
      <c r="N452" s="70"/>
      <c r="O452" s="77" t="s">
        <v>179</v>
      </c>
      <c r="P452" s="79">
        <v>45125.508460648147</v>
      </c>
      <c r="Q452" s="77" t="s">
        <v>1034</v>
      </c>
      <c r="R452" s="77">
        <v>0</v>
      </c>
      <c r="S452" s="77">
        <v>0</v>
      </c>
      <c r="T452" s="77">
        <v>0</v>
      </c>
      <c r="U452" s="77">
        <v>0</v>
      </c>
      <c r="V452" s="77">
        <v>28</v>
      </c>
      <c r="W452" s="82" t="s">
        <v>1854</v>
      </c>
      <c r="X452" s="80" t="str">
        <f>HYPERLINK("http://hotm.art/instps")</f>
        <v>http://hotm.art/instps</v>
      </c>
      <c r="Y452" s="77" t="s">
        <v>2135</v>
      </c>
      <c r="Z452" s="77"/>
      <c r="AA452" s="77" t="s">
        <v>2496</v>
      </c>
      <c r="AB452" s="77" t="s">
        <v>2713</v>
      </c>
      <c r="AC452" s="82" t="s">
        <v>2719</v>
      </c>
      <c r="AD452" s="77" t="s">
        <v>2752</v>
      </c>
      <c r="AE452" s="80" t="str">
        <f>HYPERLINK("https://twitter.com/paulinorsantos/status/1681275670486188034")</f>
        <v>https://twitter.com/paulinorsantos/status/1681275670486188034</v>
      </c>
      <c r="AF452" s="79">
        <v>45125.508460648147</v>
      </c>
      <c r="AG452" s="85">
        <v>45125</v>
      </c>
      <c r="AH452" s="82" t="s">
        <v>3204</v>
      </c>
      <c r="AI452" s="77" t="b">
        <v>0</v>
      </c>
      <c r="AJ452" s="77"/>
      <c r="AK452" s="77"/>
      <c r="AL452" s="77"/>
      <c r="AM452" s="77"/>
      <c r="AN452" s="77"/>
      <c r="AO452" s="77"/>
      <c r="AP452" s="77"/>
      <c r="AQ452" s="77" t="s">
        <v>4122</v>
      </c>
      <c r="AR452" s="77">
        <v>44948</v>
      </c>
      <c r="AS452" s="77"/>
      <c r="AT452" s="77"/>
      <c r="AU452" s="77"/>
      <c r="AV452" s="80" t="str">
        <f>HYPERLINK("https://pbs.twimg.com/ext_tw_video_thumb/1681275611208118274/pu/img/e58peYV6skCc14F1.jpg")</f>
        <v>https://pbs.twimg.com/ext_tw_video_thumb/1681275611208118274/pu/img/e58peYV6skCc14F1.jpg</v>
      </c>
      <c r="AW452" s="82" t="s">
        <v>4786</v>
      </c>
      <c r="AX452" s="82" t="s">
        <v>4786</v>
      </c>
      <c r="AY452" s="77"/>
      <c r="AZ452" s="82" t="s">
        <v>5615</v>
      </c>
      <c r="BA452" s="82" t="s">
        <v>5615</v>
      </c>
      <c r="BB452" s="82" t="s">
        <v>5615</v>
      </c>
      <c r="BC452" s="82" t="s">
        <v>4786</v>
      </c>
      <c r="BD452" s="82" t="s">
        <v>5997</v>
      </c>
      <c r="BE452" s="77"/>
      <c r="BF452" s="77"/>
      <c r="BG452" s="77"/>
      <c r="BH452" s="77"/>
      <c r="BI452" s="77"/>
    </row>
    <row r="453" spans="1:61" x14ac:dyDescent="0.25">
      <c r="A453" s="62" t="s">
        <v>421</v>
      </c>
      <c r="B453" s="62" t="s">
        <v>421</v>
      </c>
      <c r="C453" s="63"/>
      <c r="D453" s="64"/>
      <c r="E453" s="65"/>
      <c r="F453" s="66"/>
      <c r="G453" s="63"/>
      <c r="H453" s="67"/>
      <c r="I453" s="68"/>
      <c r="J453" s="68"/>
      <c r="K453" s="32"/>
      <c r="L453" s="75">
        <v>453</v>
      </c>
      <c r="M453" s="75"/>
      <c r="N453" s="70"/>
      <c r="O453" s="77" t="s">
        <v>179</v>
      </c>
      <c r="P453" s="79">
        <v>45134.103842592594</v>
      </c>
      <c r="Q453" s="77" t="s">
        <v>1035</v>
      </c>
      <c r="R453" s="77">
        <v>0</v>
      </c>
      <c r="S453" s="77">
        <v>0</v>
      </c>
      <c r="T453" s="77">
        <v>0</v>
      </c>
      <c r="U453" s="77">
        <v>0</v>
      </c>
      <c r="V453" s="77">
        <v>24</v>
      </c>
      <c r="W453" s="82" t="s">
        <v>1855</v>
      </c>
      <c r="X453" s="80" t="str">
        <f>HYPERLINK("http://hotm.art/instps")</f>
        <v>http://hotm.art/instps</v>
      </c>
      <c r="Y453" s="77" t="s">
        <v>2135</v>
      </c>
      <c r="Z453" s="77"/>
      <c r="AA453" s="77" t="s">
        <v>2497</v>
      </c>
      <c r="AB453" s="77" t="s">
        <v>2713</v>
      </c>
      <c r="AC453" s="82" t="s">
        <v>2719</v>
      </c>
      <c r="AD453" s="77" t="s">
        <v>2752</v>
      </c>
      <c r="AE453" s="80" t="str">
        <f>HYPERLINK("https://twitter.com/paulinorsantos/status/1684390534553505792")</f>
        <v>https://twitter.com/paulinorsantos/status/1684390534553505792</v>
      </c>
      <c r="AF453" s="79">
        <v>45134.103842592594</v>
      </c>
      <c r="AG453" s="85">
        <v>45134</v>
      </c>
      <c r="AH453" s="82" t="s">
        <v>3205</v>
      </c>
      <c r="AI453" s="77" t="b">
        <v>0</v>
      </c>
      <c r="AJ453" s="77"/>
      <c r="AK453" s="77"/>
      <c r="AL453" s="77"/>
      <c r="AM453" s="77"/>
      <c r="AN453" s="77"/>
      <c r="AO453" s="77"/>
      <c r="AP453" s="77"/>
      <c r="AQ453" s="77" t="s">
        <v>4123</v>
      </c>
      <c r="AR453" s="77">
        <v>11500</v>
      </c>
      <c r="AS453" s="77"/>
      <c r="AT453" s="77"/>
      <c r="AU453" s="77"/>
      <c r="AV453" s="80" t="str">
        <f>HYPERLINK("https://pbs.twimg.com/ext_tw_video_thumb/1684390267162427392/pu/img/nyQDhSVR2NcQJ86R.jpg")</f>
        <v>https://pbs.twimg.com/ext_tw_video_thumb/1684390267162427392/pu/img/nyQDhSVR2NcQJ86R.jpg</v>
      </c>
      <c r="AW453" s="82" t="s">
        <v>4787</v>
      </c>
      <c r="AX453" s="82" t="s">
        <v>4787</v>
      </c>
      <c r="AY453" s="77"/>
      <c r="AZ453" s="82" t="s">
        <v>5615</v>
      </c>
      <c r="BA453" s="82" t="s">
        <v>5615</v>
      </c>
      <c r="BB453" s="82" t="s">
        <v>5615</v>
      </c>
      <c r="BC453" s="82" t="s">
        <v>4787</v>
      </c>
      <c r="BD453" s="82" t="s">
        <v>5997</v>
      </c>
      <c r="BE453" s="77"/>
      <c r="BF453" s="77"/>
      <c r="BG453" s="77"/>
      <c r="BH453" s="77"/>
      <c r="BI453" s="77"/>
    </row>
    <row r="454" spans="1:61" x14ac:dyDescent="0.25">
      <c r="A454" s="62" t="s">
        <v>421</v>
      </c>
      <c r="B454" s="62" t="s">
        <v>421</v>
      </c>
      <c r="C454" s="63"/>
      <c r="D454" s="64"/>
      <c r="E454" s="65"/>
      <c r="F454" s="66"/>
      <c r="G454" s="63"/>
      <c r="H454" s="67"/>
      <c r="I454" s="68"/>
      <c r="J454" s="68"/>
      <c r="K454" s="32"/>
      <c r="L454" s="75">
        <v>454</v>
      </c>
      <c r="M454" s="75"/>
      <c r="N454" s="70"/>
      <c r="O454" s="77" t="s">
        <v>179</v>
      </c>
      <c r="P454" s="79">
        <v>45100.562743055554</v>
      </c>
      <c r="Q454" s="77" t="s">
        <v>1036</v>
      </c>
      <c r="R454" s="77">
        <v>0</v>
      </c>
      <c r="S454" s="77">
        <v>0</v>
      </c>
      <c r="T454" s="77">
        <v>0</v>
      </c>
      <c r="U454" s="77">
        <v>0</v>
      </c>
      <c r="V454" s="77">
        <v>23</v>
      </c>
      <c r="W454" s="82" t="s">
        <v>1854</v>
      </c>
      <c r="X454" s="80" t="str">
        <f>HYPERLINK("http://hotm.art/instps")</f>
        <v>http://hotm.art/instps</v>
      </c>
      <c r="Y454" s="77" t="s">
        <v>2135</v>
      </c>
      <c r="Z454" s="77"/>
      <c r="AA454" s="77" t="s">
        <v>2498</v>
      </c>
      <c r="AB454" s="77" t="s">
        <v>2713</v>
      </c>
      <c r="AC454" s="82" t="s">
        <v>2719</v>
      </c>
      <c r="AD454" s="77" t="s">
        <v>2752</v>
      </c>
      <c r="AE454" s="80" t="str">
        <f>HYPERLINK("https://twitter.com/paulinorsantos/status/1672235645056565255")</f>
        <v>https://twitter.com/paulinorsantos/status/1672235645056565255</v>
      </c>
      <c r="AF454" s="79">
        <v>45100.562743055554</v>
      </c>
      <c r="AG454" s="85">
        <v>45100</v>
      </c>
      <c r="AH454" s="82" t="s">
        <v>3206</v>
      </c>
      <c r="AI454" s="77" t="b">
        <v>0</v>
      </c>
      <c r="AJ454" s="77"/>
      <c r="AK454" s="77"/>
      <c r="AL454" s="77"/>
      <c r="AM454" s="77"/>
      <c r="AN454" s="77"/>
      <c r="AO454" s="77"/>
      <c r="AP454" s="77"/>
      <c r="AQ454" s="77" t="s">
        <v>4124</v>
      </c>
      <c r="AR454" s="77">
        <v>75006</v>
      </c>
      <c r="AS454" s="77"/>
      <c r="AT454" s="77"/>
      <c r="AU454" s="77"/>
      <c r="AV454" s="80" t="str">
        <f>HYPERLINK("https://pbs.twimg.com/ext_tw_video_thumb/1672235606531878919/pu/img/5_t4WLtfAv9f0yda.jpg")</f>
        <v>https://pbs.twimg.com/ext_tw_video_thumb/1672235606531878919/pu/img/5_t4WLtfAv9f0yda.jpg</v>
      </c>
      <c r="AW454" s="82" t="s">
        <v>4788</v>
      </c>
      <c r="AX454" s="82" t="s">
        <v>4788</v>
      </c>
      <c r="AY454" s="77"/>
      <c r="AZ454" s="82" t="s">
        <v>5615</v>
      </c>
      <c r="BA454" s="82" t="s">
        <v>5615</v>
      </c>
      <c r="BB454" s="82" t="s">
        <v>5615</v>
      </c>
      <c r="BC454" s="82" t="s">
        <v>4788</v>
      </c>
      <c r="BD454" s="82" t="s">
        <v>5997</v>
      </c>
      <c r="BE454" s="77"/>
      <c r="BF454" s="77"/>
      <c r="BG454" s="77"/>
      <c r="BH454" s="77"/>
      <c r="BI454" s="77"/>
    </row>
    <row r="455" spans="1:61" x14ac:dyDescent="0.25">
      <c r="A455" s="62" t="s">
        <v>421</v>
      </c>
      <c r="B455" s="62" t="s">
        <v>421</v>
      </c>
      <c r="C455" s="63"/>
      <c r="D455" s="64"/>
      <c r="E455" s="65"/>
      <c r="F455" s="66"/>
      <c r="G455" s="63"/>
      <c r="H455" s="67"/>
      <c r="I455" s="68"/>
      <c r="J455" s="68"/>
      <c r="K455" s="32"/>
      <c r="L455" s="75">
        <v>455</v>
      </c>
      <c r="M455" s="75"/>
      <c r="N455" s="70"/>
      <c r="O455" s="77" t="s">
        <v>179</v>
      </c>
      <c r="P455" s="79">
        <v>45161.670011574075</v>
      </c>
      <c r="Q455" s="77" t="s">
        <v>1037</v>
      </c>
      <c r="R455" s="77">
        <v>0</v>
      </c>
      <c r="S455" s="77">
        <v>0</v>
      </c>
      <c r="T455" s="77">
        <v>0</v>
      </c>
      <c r="U455" s="77">
        <v>0</v>
      </c>
      <c r="V455" s="77">
        <v>110</v>
      </c>
      <c r="W455" s="82" t="s">
        <v>1856</v>
      </c>
      <c r="X455" s="80" t="str">
        <f>HYPERLINK("http://hotm.art/ngdgpv")</f>
        <v>http://hotm.art/ngdgpv</v>
      </c>
      <c r="Y455" s="77" t="s">
        <v>2135</v>
      </c>
      <c r="Z455" s="77"/>
      <c r="AA455" s="77" t="s">
        <v>2499</v>
      </c>
      <c r="AB455" s="77" t="s">
        <v>2713</v>
      </c>
      <c r="AC455" s="82" t="s">
        <v>2719</v>
      </c>
      <c r="AD455" s="77" t="s">
        <v>2752</v>
      </c>
      <c r="AE455" s="80" t="str">
        <f>HYPERLINK("https://twitter.com/paulinorsantos/status/1694380177524965489")</f>
        <v>https://twitter.com/paulinorsantos/status/1694380177524965489</v>
      </c>
      <c r="AF455" s="79">
        <v>45161.670011574075</v>
      </c>
      <c r="AG455" s="85">
        <v>45161</v>
      </c>
      <c r="AH455" s="82" t="s">
        <v>3207</v>
      </c>
      <c r="AI455" s="77" t="b">
        <v>0</v>
      </c>
      <c r="AJ455" s="77"/>
      <c r="AK455" s="77"/>
      <c r="AL455" s="77"/>
      <c r="AM455" s="77"/>
      <c r="AN455" s="77"/>
      <c r="AO455" s="77"/>
      <c r="AP455" s="77"/>
      <c r="AQ455" s="77" t="s">
        <v>4125</v>
      </c>
      <c r="AR455" s="77">
        <v>45000</v>
      </c>
      <c r="AS455" s="77"/>
      <c r="AT455" s="77"/>
      <c r="AU455" s="77"/>
      <c r="AV455" s="80" t="str">
        <f>HYPERLINK("https://pbs.twimg.com/ext_tw_video_thumb/1694380103109599233/pu/img/wTStuQ9xW5Q5DTEa.jpg")</f>
        <v>https://pbs.twimg.com/ext_tw_video_thumb/1694380103109599233/pu/img/wTStuQ9xW5Q5DTEa.jpg</v>
      </c>
      <c r="AW455" s="82" t="s">
        <v>4789</v>
      </c>
      <c r="AX455" s="82" t="s">
        <v>4789</v>
      </c>
      <c r="AY455" s="77"/>
      <c r="AZ455" s="82" t="s">
        <v>5615</v>
      </c>
      <c r="BA455" s="82" t="s">
        <v>5615</v>
      </c>
      <c r="BB455" s="82" t="s">
        <v>5615</v>
      </c>
      <c r="BC455" s="82" t="s">
        <v>4789</v>
      </c>
      <c r="BD455" s="82" t="s">
        <v>5997</v>
      </c>
      <c r="BE455" s="77"/>
      <c r="BF455" s="77"/>
      <c r="BG455" s="77"/>
      <c r="BH455" s="77"/>
      <c r="BI455" s="77"/>
    </row>
    <row r="456" spans="1:61" x14ac:dyDescent="0.25">
      <c r="A456" s="62" t="s">
        <v>421</v>
      </c>
      <c r="B456" s="62" t="s">
        <v>421</v>
      </c>
      <c r="C456" s="63"/>
      <c r="D456" s="64"/>
      <c r="E456" s="65"/>
      <c r="F456" s="66"/>
      <c r="G456" s="63"/>
      <c r="H456" s="67"/>
      <c r="I456" s="68"/>
      <c r="J456" s="68"/>
      <c r="K456" s="32"/>
      <c r="L456" s="75">
        <v>456</v>
      </c>
      <c r="M456" s="75"/>
      <c r="N456" s="70"/>
      <c r="O456" s="77" t="s">
        <v>179</v>
      </c>
      <c r="P456" s="79">
        <v>45161.667071759257</v>
      </c>
      <c r="Q456" s="77" t="s">
        <v>1038</v>
      </c>
      <c r="R456" s="77">
        <v>0</v>
      </c>
      <c r="S456" s="77">
        <v>0</v>
      </c>
      <c r="T456" s="77">
        <v>0</v>
      </c>
      <c r="U456" s="77">
        <v>0</v>
      </c>
      <c r="V456" s="77">
        <v>26</v>
      </c>
      <c r="W456" s="82" t="s">
        <v>1857</v>
      </c>
      <c r="X456" s="80" t="str">
        <f>HYPERLINK("http://hotm.art/ngdgpv")</f>
        <v>http://hotm.art/ngdgpv</v>
      </c>
      <c r="Y456" s="77" t="s">
        <v>2135</v>
      </c>
      <c r="Z456" s="77"/>
      <c r="AA456" s="77" t="s">
        <v>2500</v>
      </c>
      <c r="AB456" s="77" t="s">
        <v>2713</v>
      </c>
      <c r="AC456" s="82" t="s">
        <v>2719</v>
      </c>
      <c r="AD456" s="77" t="s">
        <v>2752</v>
      </c>
      <c r="AE456" s="80" t="str">
        <f>HYPERLINK("https://twitter.com/paulinorsantos/status/1694379114507972621")</f>
        <v>https://twitter.com/paulinorsantos/status/1694379114507972621</v>
      </c>
      <c r="AF456" s="79">
        <v>45161.667071759257</v>
      </c>
      <c r="AG456" s="85">
        <v>45161</v>
      </c>
      <c r="AH456" s="82" t="s">
        <v>3208</v>
      </c>
      <c r="AI456" s="77" t="b">
        <v>0</v>
      </c>
      <c r="AJ456" s="77"/>
      <c r="AK456" s="77"/>
      <c r="AL456" s="77"/>
      <c r="AM456" s="77"/>
      <c r="AN456" s="77"/>
      <c r="AO456" s="77"/>
      <c r="AP456" s="77"/>
      <c r="AQ456" s="77" t="s">
        <v>4126</v>
      </c>
      <c r="AR456" s="77">
        <v>83286</v>
      </c>
      <c r="AS456" s="77"/>
      <c r="AT456" s="77"/>
      <c r="AU456" s="77"/>
      <c r="AV456" s="80" t="str">
        <f>HYPERLINK("https://pbs.twimg.com/ext_tw_video_thumb/1694379063228399616/pu/img/b7noxmGJOV-8K3sM.jpg")</f>
        <v>https://pbs.twimg.com/ext_tw_video_thumb/1694379063228399616/pu/img/b7noxmGJOV-8K3sM.jpg</v>
      </c>
      <c r="AW456" s="82" t="s">
        <v>4790</v>
      </c>
      <c r="AX456" s="82" t="s">
        <v>4790</v>
      </c>
      <c r="AY456" s="77"/>
      <c r="AZ456" s="82" t="s">
        <v>5615</v>
      </c>
      <c r="BA456" s="82" t="s">
        <v>5615</v>
      </c>
      <c r="BB456" s="82" t="s">
        <v>5615</v>
      </c>
      <c r="BC456" s="82" t="s">
        <v>4790</v>
      </c>
      <c r="BD456" s="82" t="s">
        <v>5997</v>
      </c>
      <c r="BE456" s="77"/>
      <c r="BF456" s="77"/>
      <c r="BG456" s="77"/>
      <c r="BH456" s="77"/>
      <c r="BI456" s="77"/>
    </row>
    <row r="457" spans="1:61" x14ac:dyDescent="0.25">
      <c r="A457" s="62" t="s">
        <v>421</v>
      </c>
      <c r="B457" s="62" t="s">
        <v>421</v>
      </c>
      <c r="C457" s="63"/>
      <c r="D457" s="64"/>
      <c r="E457" s="65"/>
      <c r="F457" s="66"/>
      <c r="G457" s="63"/>
      <c r="H457" s="67"/>
      <c r="I457" s="68"/>
      <c r="J457" s="68"/>
      <c r="K457" s="32"/>
      <c r="L457" s="75">
        <v>457</v>
      </c>
      <c r="M457" s="75"/>
      <c r="N457" s="70"/>
      <c r="O457" s="77" t="s">
        <v>179</v>
      </c>
      <c r="P457" s="79">
        <v>45144.709560185183</v>
      </c>
      <c r="Q457" s="77" t="s">
        <v>1039</v>
      </c>
      <c r="R457" s="77">
        <v>0</v>
      </c>
      <c r="S457" s="77">
        <v>0</v>
      </c>
      <c r="T457" s="77">
        <v>0</v>
      </c>
      <c r="U457" s="77">
        <v>0</v>
      </c>
      <c r="V457" s="77">
        <v>32</v>
      </c>
      <c r="W457" s="82" t="s">
        <v>1858</v>
      </c>
      <c r="X457" s="80" t="str">
        <f>HYPERLINK("http://hotm.art/instps")</f>
        <v>http://hotm.art/instps</v>
      </c>
      <c r="Y457" s="77" t="s">
        <v>2135</v>
      </c>
      <c r="Z457" s="77"/>
      <c r="AA457" s="77" t="s">
        <v>2501</v>
      </c>
      <c r="AB457" s="77" t="s">
        <v>2713</v>
      </c>
      <c r="AC457" s="82" t="s">
        <v>2719</v>
      </c>
      <c r="AD457" s="77" t="s">
        <v>2752</v>
      </c>
      <c r="AE457" s="80" t="str">
        <f>HYPERLINK("https://twitter.com/paulinorsantos/status/1688233917655011328")</f>
        <v>https://twitter.com/paulinorsantos/status/1688233917655011328</v>
      </c>
      <c r="AF457" s="79">
        <v>45144.709560185183</v>
      </c>
      <c r="AG457" s="85">
        <v>45144</v>
      </c>
      <c r="AH457" s="82" t="s">
        <v>3209</v>
      </c>
      <c r="AI457" s="77" t="b">
        <v>0</v>
      </c>
      <c r="AJ457" s="77"/>
      <c r="AK457" s="77"/>
      <c r="AL457" s="77"/>
      <c r="AM457" s="77"/>
      <c r="AN457" s="77"/>
      <c r="AO457" s="77"/>
      <c r="AP457" s="77"/>
      <c r="AQ457" s="77" t="s">
        <v>4127</v>
      </c>
      <c r="AR457" s="77">
        <v>13699</v>
      </c>
      <c r="AS457" s="77"/>
      <c r="AT457" s="77"/>
      <c r="AU457" s="77"/>
      <c r="AV457" s="80" t="str">
        <f>HYPERLINK("https://pbs.twimg.com/ext_tw_video_thumb/1688233888856846336/pu/img/iZTLS8manPiJaTza.jpg")</f>
        <v>https://pbs.twimg.com/ext_tw_video_thumb/1688233888856846336/pu/img/iZTLS8manPiJaTza.jpg</v>
      </c>
      <c r="AW457" s="82" t="s">
        <v>4791</v>
      </c>
      <c r="AX457" s="82" t="s">
        <v>4791</v>
      </c>
      <c r="AY457" s="77"/>
      <c r="AZ457" s="82" t="s">
        <v>5615</v>
      </c>
      <c r="BA457" s="82" t="s">
        <v>5615</v>
      </c>
      <c r="BB457" s="82" t="s">
        <v>5615</v>
      </c>
      <c r="BC457" s="82" t="s">
        <v>4791</v>
      </c>
      <c r="BD457" s="82" t="s">
        <v>5997</v>
      </c>
      <c r="BE457" s="77"/>
      <c r="BF457" s="77"/>
      <c r="BG457" s="77"/>
      <c r="BH457" s="77"/>
      <c r="BI457" s="77"/>
    </row>
    <row r="458" spans="1:61" x14ac:dyDescent="0.25">
      <c r="A458" s="62" t="s">
        <v>421</v>
      </c>
      <c r="B458" s="62" t="s">
        <v>421</v>
      </c>
      <c r="C458" s="63"/>
      <c r="D458" s="64"/>
      <c r="E458" s="65"/>
      <c r="F458" s="66"/>
      <c r="G458" s="63"/>
      <c r="H458" s="67"/>
      <c r="I458" s="68"/>
      <c r="J458" s="68"/>
      <c r="K458" s="32"/>
      <c r="L458" s="75">
        <v>458</v>
      </c>
      <c r="M458" s="75"/>
      <c r="N458" s="70"/>
      <c r="O458" s="77" t="s">
        <v>179</v>
      </c>
      <c r="P458" s="79">
        <v>45168.668657407405</v>
      </c>
      <c r="Q458" s="77" t="s">
        <v>1040</v>
      </c>
      <c r="R458" s="77">
        <v>0</v>
      </c>
      <c r="S458" s="77">
        <v>0</v>
      </c>
      <c r="T458" s="77">
        <v>0</v>
      </c>
      <c r="U458" s="77">
        <v>0</v>
      </c>
      <c r="V458" s="77">
        <v>30</v>
      </c>
      <c r="W458" s="82" t="s">
        <v>1859</v>
      </c>
      <c r="X458" s="80" t="str">
        <f>HYPERLINK("http://hotm.art/ngdgpv")</f>
        <v>http://hotm.art/ngdgpv</v>
      </c>
      <c r="Y458" s="77" t="s">
        <v>2135</v>
      </c>
      <c r="Z458" s="77"/>
      <c r="AA458" s="77" t="s">
        <v>2502</v>
      </c>
      <c r="AB458" s="77" t="s">
        <v>2713</v>
      </c>
      <c r="AC458" s="82" t="s">
        <v>2719</v>
      </c>
      <c r="AD458" s="77" t="s">
        <v>2752</v>
      </c>
      <c r="AE458" s="80" t="str">
        <f>HYPERLINK("https://twitter.com/paulinorsantos/status/1696916405260517642")</f>
        <v>https://twitter.com/paulinorsantos/status/1696916405260517642</v>
      </c>
      <c r="AF458" s="79">
        <v>45168.668657407405</v>
      </c>
      <c r="AG458" s="85">
        <v>45168</v>
      </c>
      <c r="AH458" s="82" t="s">
        <v>3210</v>
      </c>
      <c r="AI458" s="77" t="b">
        <v>0</v>
      </c>
      <c r="AJ458" s="77"/>
      <c r="AK458" s="77"/>
      <c r="AL458" s="77"/>
      <c r="AM458" s="77"/>
      <c r="AN458" s="77"/>
      <c r="AO458" s="77"/>
      <c r="AP458" s="77"/>
      <c r="AQ458" s="77" t="s">
        <v>4128</v>
      </c>
      <c r="AR458" s="77">
        <v>49364</v>
      </c>
      <c r="AS458" s="77"/>
      <c r="AT458" s="77"/>
      <c r="AU458" s="77"/>
      <c r="AV458" s="80" t="str">
        <f>HYPERLINK("https://pbs.twimg.com/ext_tw_video_thumb/1696916370045255680/pu/img/rD_L6uzxIitPmJqD.jpg")</f>
        <v>https://pbs.twimg.com/ext_tw_video_thumb/1696916370045255680/pu/img/rD_L6uzxIitPmJqD.jpg</v>
      </c>
      <c r="AW458" s="82" t="s">
        <v>4792</v>
      </c>
      <c r="AX458" s="82" t="s">
        <v>4792</v>
      </c>
      <c r="AY458" s="77"/>
      <c r="AZ458" s="82" t="s">
        <v>5615</v>
      </c>
      <c r="BA458" s="82" t="s">
        <v>5615</v>
      </c>
      <c r="BB458" s="82" t="s">
        <v>5615</v>
      </c>
      <c r="BC458" s="82" t="s">
        <v>4792</v>
      </c>
      <c r="BD458" s="82" t="s">
        <v>5997</v>
      </c>
      <c r="BE458" s="77"/>
      <c r="BF458" s="77"/>
      <c r="BG458" s="77"/>
      <c r="BH458" s="77"/>
      <c r="BI458" s="77"/>
    </row>
    <row r="459" spans="1:61" x14ac:dyDescent="0.25">
      <c r="A459" s="62" t="s">
        <v>422</v>
      </c>
      <c r="B459" s="62" t="s">
        <v>422</v>
      </c>
      <c r="C459" s="63"/>
      <c r="D459" s="64"/>
      <c r="E459" s="65"/>
      <c r="F459" s="66"/>
      <c r="G459" s="63"/>
      <c r="H459" s="67"/>
      <c r="I459" s="68"/>
      <c r="J459" s="68"/>
      <c r="K459" s="32"/>
      <c r="L459" s="75">
        <v>459</v>
      </c>
      <c r="M459" s="75"/>
      <c r="N459" s="70"/>
      <c r="O459" s="77" t="s">
        <v>179</v>
      </c>
      <c r="P459" s="79">
        <v>44945.496435185189</v>
      </c>
      <c r="Q459" s="77" t="s">
        <v>1041</v>
      </c>
      <c r="R459" s="77">
        <v>0</v>
      </c>
      <c r="S459" s="77">
        <v>1</v>
      </c>
      <c r="T459" s="77">
        <v>0</v>
      </c>
      <c r="U459" s="77">
        <v>0</v>
      </c>
      <c r="V459" s="77">
        <v>92</v>
      </c>
      <c r="W459" s="82" t="s">
        <v>1860</v>
      </c>
      <c r="X459" s="77"/>
      <c r="Y459" s="77"/>
      <c r="Z459" s="77"/>
      <c r="AA459" s="77" t="s">
        <v>2503</v>
      </c>
      <c r="AB459" s="77" t="s">
        <v>2713</v>
      </c>
      <c r="AC459" s="82" t="s">
        <v>2720</v>
      </c>
      <c r="AD459" s="77" t="s">
        <v>2752</v>
      </c>
      <c r="AE459" s="80" t="str">
        <f>HYPERLINK("https://twitter.com/anapregis/status/1616041497970806784")</f>
        <v>https://twitter.com/anapregis/status/1616041497970806784</v>
      </c>
      <c r="AF459" s="79">
        <v>44945.496435185189</v>
      </c>
      <c r="AG459" s="85">
        <v>44945</v>
      </c>
      <c r="AH459" s="82" t="s">
        <v>3211</v>
      </c>
      <c r="AI459" s="77" t="b">
        <v>0</v>
      </c>
      <c r="AJ459" s="77" t="s">
        <v>3745</v>
      </c>
      <c r="AK459" s="77" t="s">
        <v>3752</v>
      </c>
      <c r="AL459" s="77" t="s">
        <v>3755</v>
      </c>
      <c r="AM459" s="77" t="s">
        <v>3760</v>
      </c>
      <c r="AN459" s="77" t="s">
        <v>3785</v>
      </c>
      <c r="AO459" s="77" t="s">
        <v>3794</v>
      </c>
      <c r="AP459" s="77" t="s">
        <v>3809</v>
      </c>
      <c r="AQ459" s="77" t="s">
        <v>4129</v>
      </c>
      <c r="AR459" s="77">
        <v>45001</v>
      </c>
      <c r="AS459" s="77"/>
      <c r="AT459" s="77"/>
      <c r="AU459" s="77"/>
      <c r="AV459" s="80" t="str">
        <f>HYPERLINK("https://pbs.twimg.com/ext_tw_video_thumb/1616040827523940357/pu/img/2ZYL3Ddvt8xl6AFb.jpg")</f>
        <v>https://pbs.twimg.com/ext_tw_video_thumb/1616040827523940357/pu/img/2ZYL3Ddvt8xl6AFb.jpg</v>
      </c>
      <c r="AW459" s="82" t="s">
        <v>4793</v>
      </c>
      <c r="AX459" s="82" t="s">
        <v>4793</v>
      </c>
      <c r="AY459" s="77"/>
      <c r="AZ459" s="82" t="s">
        <v>5615</v>
      </c>
      <c r="BA459" s="82" t="s">
        <v>5615</v>
      </c>
      <c r="BB459" s="82" t="s">
        <v>5615</v>
      </c>
      <c r="BC459" s="82" t="s">
        <v>4793</v>
      </c>
      <c r="BD459" s="82" t="s">
        <v>5998</v>
      </c>
      <c r="BE459" s="77"/>
      <c r="BF459" s="77"/>
      <c r="BG459" s="77"/>
      <c r="BH459" s="77"/>
      <c r="BI459" s="77"/>
    </row>
    <row r="460" spans="1:61" x14ac:dyDescent="0.25">
      <c r="A460" s="62" t="s">
        <v>423</v>
      </c>
      <c r="B460" s="62" t="s">
        <v>423</v>
      </c>
      <c r="C460" s="63"/>
      <c r="D460" s="64"/>
      <c r="E460" s="65"/>
      <c r="F460" s="66"/>
      <c r="G460" s="63"/>
      <c r="H460" s="67"/>
      <c r="I460" s="68"/>
      <c r="J460" s="68"/>
      <c r="K460" s="32"/>
      <c r="L460" s="75">
        <v>460</v>
      </c>
      <c r="M460" s="75"/>
      <c r="N460" s="70"/>
      <c r="O460" s="77" t="s">
        <v>179</v>
      </c>
      <c r="P460" s="79">
        <v>45077.472222222219</v>
      </c>
      <c r="Q460" s="77" t="s">
        <v>1042</v>
      </c>
      <c r="R460" s="77">
        <v>0</v>
      </c>
      <c r="S460" s="77">
        <v>0</v>
      </c>
      <c r="T460" s="77">
        <v>0</v>
      </c>
      <c r="U460" s="77">
        <v>0</v>
      </c>
      <c r="V460" s="77">
        <v>13</v>
      </c>
      <c r="W460" s="82" t="s">
        <v>1563</v>
      </c>
      <c r="X460" s="77"/>
      <c r="Y460" s="77"/>
      <c r="Z460" s="77"/>
      <c r="AA460" s="77"/>
      <c r="AB460" s="77"/>
      <c r="AC460" s="82" t="s">
        <v>2719</v>
      </c>
      <c r="AD460" s="77" t="s">
        <v>2752</v>
      </c>
      <c r="AE460" s="80" t="str">
        <f>HYPERLINK("https://twitter.com/brunossm/status/1663867924371701760")</f>
        <v>https://twitter.com/brunossm/status/1663867924371701760</v>
      </c>
      <c r="AF460" s="79">
        <v>45077.472222222219</v>
      </c>
      <c r="AG460" s="85">
        <v>45077</v>
      </c>
      <c r="AH460" s="82" t="s">
        <v>3212</v>
      </c>
      <c r="AI460" s="77"/>
      <c r="AJ460" s="77"/>
      <c r="AK460" s="77"/>
      <c r="AL460" s="77"/>
      <c r="AM460" s="77"/>
      <c r="AN460" s="77"/>
      <c r="AO460" s="77"/>
      <c r="AP460" s="77"/>
      <c r="AQ460" s="77"/>
      <c r="AR460" s="77"/>
      <c r="AS460" s="77"/>
      <c r="AT460" s="77"/>
      <c r="AU460" s="77"/>
      <c r="AV460" s="80" t="str">
        <f>HYPERLINK("https://pbs.twimg.com/profile_images/1663484313545867265/O1i582Yp_normal.jpg")</f>
        <v>https://pbs.twimg.com/profile_images/1663484313545867265/O1i582Yp_normal.jpg</v>
      </c>
      <c r="AW460" s="82" t="s">
        <v>4794</v>
      </c>
      <c r="AX460" s="82" t="s">
        <v>4794</v>
      </c>
      <c r="AY460" s="77"/>
      <c r="AZ460" s="82" t="s">
        <v>5615</v>
      </c>
      <c r="BA460" s="82" t="s">
        <v>5615</v>
      </c>
      <c r="BB460" s="82" t="s">
        <v>5615</v>
      </c>
      <c r="BC460" s="82" t="s">
        <v>4794</v>
      </c>
      <c r="BD460" s="77">
        <v>111397831</v>
      </c>
      <c r="BE460" s="77"/>
      <c r="BF460" s="77"/>
      <c r="BG460" s="77"/>
      <c r="BH460" s="77"/>
      <c r="BI460" s="77"/>
    </row>
    <row r="461" spans="1:61" x14ac:dyDescent="0.25">
      <c r="A461" s="62" t="s">
        <v>424</v>
      </c>
      <c r="B461" s="62" t="s">
        <v>424</v>
      </c>
      <c r="C461" s="63"/>
      <c r="D461" s="64"/>
      <c r="E461" s="65"/>
      <c r="F461" s="66"/>
      <c r="G461" s="63"/>
      <c r="H461" s="67"/>
      <c r="I461" s="68"/>
      <c r="J461" s="68"/>
      <c r="K461" s="32"/>
      <c r="L461" s="75">
        <v>461</v>
      </c>
      <c r="M461" s="75"/>
      <c r="N461" s="70"/>
      <c r="O461" s="77" t="s">
        <v>179</v>
      </c>
      <c r="P461" s="79">
        <v>45075.825532407405</v>
      </c>
      <c r="Q461" s="77" t="s">
        <v>1043</v>
      </c>
      <c r="R461" s="77">
        <v>0</v>
      </c>
      <c r="S461" s="77">
        <v>0</v>
      </c>
      <c r="T461" s="77">
        <v>0</v>
      </c>
      <c r="U461" s="77">
        <v>0</v>
      </c>
      <c r="V461" s="77">
        <v>14</v>
      </c>
      <c r="W461" s="82" t="s">
        <v>1861</v>
      </c>
      <c r="X461" s="77"/>
      <c r="Y461" s="77"/>
      <c r="Z461" s="77"/>
      <c r="AA461" s="77" t="s">
        <v>2504</v>
      </c>
      <c r="AB461" s="77" t="s">
        <v>2714</v>
      </c>
      <c r="AC461" s="82" t="s">
        <v>2720</v>
      </c>
      <c r="AD461" s="77" t="s">
        <v>2752</v>
      </c>
      <c r="AE461" s="80" t="str">
        <f>HYPERLINK("https://twitter.com/maemarketeiraa/status/1663271183179972609")</f>
        <v>https://twitter.com/maemarketeiraa/status/1663271183179972609</v>
      </c>
      <c r="AF461" s="79">
        <v>45075.825532407405</v>
      </c>
      <c r="AG461" s="85">
        <v>45075</v>
      </c>
      <c r="AH461" s="82" t="s">
        <v>3213</v>
      </c>
      <c r="AI461" s="77" t="b">
        <v>0</v>
      </c>
      <c r="AJ461" s="77"/>
      <c r="AK461" s="77"/>
      <c r="AL461" s="77"/>
      <c r="AM461" s="77"/>
      <c r="AN461" s="77"/>
      <c r="AO461" s="77"/>
      <c r="AP461" s="77"/>
      <c r="AQ461" s="77" t="s">
        <v>4130</v>
      </c>
      <c r="AR461" s="77"/>
      <c r="AS461" s="77"/>
      <c r="AT461" s="77"/>
      <c r="AU461" s="77"/>
      <c r="AV461" s="80" t="str">
        <f>HYPERLINK("https://pbs.twimg.com/media/FxUgUvVWwAEWP7B.jpg")</f>
        <v>https://pbs.twimg.com/media/FxUgUvVWwAEWP7B.jpg</v>
      </c>
      <c r="AW461" s="82" t="s">
        <v>4795</v>
      </c>
      <c r="AX461" s="82" t="s">
        <v>4795</v>
      </c>
      <c r="AY461" s="77"/>
      <c r="AZ461" s="82" t="s">
        <v>5615</v>
      </c>
      <c r="BA461" s="82" t="s">
        <v>5615</v>
      </c>
      <c r="BB461" s="82" t="s">
        <v>5615</v>
      </c>
      <c r="BC461" s="82" t="s">
        <v>4795</v>
      </c>
      <c r="BD461" s="82" t="s">
        <v>5999</v>
      </c>
      <c r="BE461" s="77"/>
      <c r="BF461" s="77"/>
      <c r="BG461" s="77"/>
      <c r="BH461" s="77"/>
      <c r="BI461" s="77"/>
    </row>
    <row r="462" spans="1:61" x14ac:dyDescent="0.25">
      <c r="A462" s="62" t="s">
        <v>425</v>
      </c>
      <c r="B462" s="62" t="s">
        <v>574</v>
      </c>
      <c r="C462" s="63"/>
      <c r="D462" s="64"/>
      <c r="E462" s="65"/>
      <c r="F462" s="66"/>
      <c r="G462" s="63"/>
      <c r="H462" s="67"/>
      <c r="I462" s="68"/>
      <c r="J462" s="68"/>
      <c r="K462" s="32"/>
      <c r="L462" s="75">
        <v>462</v>
      </c>
      <c r="M462" s="75"/>
      <c r="N462" s="70"/>
      <c r="O462" s="77" t="s">
        <v>587</v>
      </c>
      <c r="P462" s="79">
        <v>44986.670127314814</v>
      </c>
      <c r="Q462" s="77" t="s">
        <v>1044</v>
      </c>
      <c r="R462" s="77">
        <v>0</v>
      </c>
      <c r="S462" s="77">
        <v>0</v>
      </c>
      <c r="T462" s="77">
        <v>1</v>
      </c>
      <c r="U462" s="77">
        <v>0</v>
      </c>
      <c r="V462" s="77">
        <v>55</v>
      </c>
      <c r="W462" s="82" t="s">
        <v>1862</v>
      </c>
      <c r="X462" s="77"/>
      <c r="Y462" s="77"/>
      <c r="Z462" s="77" t="s">
        <v>2181</v>
      </c>
      <c r="AA462" s="77"/>
      <c r="AB462" s="77"/>
      <c r="AC462" s="82" t="s">
        <v>2722</v>
      </c>
      <c r="AD462" s="77" t="s">
        <v>2752</v>
      </c>
      <c r="AE462" s="80" t="str">
        <f>HYPERLINK("https://twitter.com/bitfinexpor/status/1630962345148129280")</f>
        <v>https://twitter.com/bitfinexpor/status/1630962345148129280</v>
      </c>
      <c r="AF462" s="79">
        <v>44986.670127314814</v>
      </c>
      <c r="AG462" s="85">
        <v>44986</v>
      </c>
      <c r="AH462" s="82" t="s">
        <v>3214</v>
      </c>
      <c r="AI462" s="77"/>
      <c r="AJ462" s="77"/>
      <c r="AK462" s="77"/>
      <c r="AL462" s="77"/>
      <c r="AM462" s="77"/>
      <c r="AN462" s="77"/>
      <c r="AO462" s="77"/>
      <c r="AP462" s="77"/>
      <c r="AQ462" s="77"/>
      <c r="AR462" s="77"/>
      <c r="AS462" s="77"/>
      <c r="AT462" s="77"/>
      <c r="AU462" s="77"/>
      <c r="AV462" s="80" t="str">
        <f>HYPERLINK("https://pbs.twimg.com/profile_images/1689617066402213888/UNBIkoAV_normal.png")</f>
        <v>https://pbs.twimg.com/profile_images/1689617066402213888/UNBIkoAV_normal.png</v>
      </c>
      <c r="AW462" s="82" t="s">
        <v>4796</v>
      </c>
      <c r="AX462" s="82" t="s">
        <v>5342</v>
      </c>
      <c r="AY462" s="82" t="s">
        <v>5596</v>
      </c>
      <c r="AZ462" s="82" t="s">
        <v>5342</v>
      </c>
      <c r="BA462" s="82" t="s">
        <v>5615</v>
      </c>
      <c r="BB462" s="82" t="s">
        <v>5615</v>
      </c>
      <c r="BC462" s="82" t="s">
        <v>5342</v>
      </c>
      <c r="BD462" s="82" t="s">
        <v>6000</v>
      </c>
      <c r="BE462" s="77"/>
      <c r="BF462" s="77"/>
      <c r="BG462" s="77"/>
      <c r="BH462" s="77"/>
      <c r="BI462" s="77"/>
    </row>
    <row r="463" spans="1:61" x14ac:dyDescent="0.25">
      <c r="A463" s="62" t="s">
        <v>425</v>
      </c>
      <c r="B463" s="62" t="s">
        <v>575</v>
      </c>
      <c r="C463" s="63"/>
      <c r="D463" s="64"/>
      <c r="E463" s="65"/>
      <c r="F463" s="66"/>
      <c r="G463" s="63"/>
      <c r="H463" s="67"/>
      <c r="I463" s="68"/>
      <c r="J463" s="68"/>
      <c r="K463" s="32"/>
      <c r="L463" s="75">
        <v>463</v>
      </c>
      <c r="M463" s="75"/>
      <c r="N463" s="70"/>
      <c r="O463" s="77" t="s">
        <v>583</v>
      </c>
      <c r="P463" s="79">
        <v>44986.670127314814</v>
      </c>
      <c r="Q463" s="77" t="s">
        <v>1044</v>
      </c>
      <c r="R463" s="77">
        <v>0</v>
      </c>
      <c r="S463" s="77">
        <v>0</v>
      </c>
      <c r="T463" s="77">
        <v>1</v>
      </c>
      <c r="U463" s="77">
        <v>0</v>
      </c>
      <c r="V463" s="77">
        <v>55</v>
      </c>
      <c r="W463" s="82" t="s">
        <v>1862</v>
      </c>
      <c r="X463" s="77"/>
      <c r="Y463" s="77"/>
      <c r="Z463" s="77" t="s">
        <v>2181</v>
      </c>
      <c r="AA463" s="77"/>
      <c r="AB463" s="77"/>
      <c r="AC463" s="82" t="s">
        <v>2722</v>
      </c>
      <c r="AD463" s="77" t="s">
        <v>2752</v>
      </c>
      <c r="AE463" s="80" t="str">
        <f>HYPERLINK("https://twitter.com/bitfinexpor/status/1630962345148129280")</f>
        <v>https://twitter.com/bitfinexpor/status/1630962345148129280</v>
      </c>
      <c r="AF463" s="79">
        <v>44986.670127314814</v>
      </c>
      <c r="AG463" s="85">
        <v>44986</v>
      </c>
      <c r="AH463" s="82" t="s">
        <v>3214</v>
      </c>
      <c r="AI463" s="77"/>
      <c r="AJ463" s="77"/>
      <c r="AK463" s="77"/>
      <c r="AL463" s="77"/>
      <c r="AM463" s="77"/>
      <c r="AN463" s="77"/>
      <c r="AO463" s="77"/>
      <c r="AP463" s="77"/>
      <c r="AQ463" s="77"/>
      <c r="AR463" s="77"/>
      <c r="AS463" s="77"/>
      <c r="AT463" s="77"/>
      <c r="AU463" s="77"/>
      <c r="AV463" s="80" t="str">
        <f>HYPERLINK("https://pbs.twimg.com/profile_images/1689617066402213888/UNBIkoAV_normal.png")</f>
        <v>https://pbs.twimg.com/profile_images/1689617066402213888/UNBIkoAV_normal.png</v>
      </c>
      <c r="AW463" s="82" t="s">
        <v>4796</v>
      </c>
      <c r="AX463" s="82" t="s">
        <v>5342</v>
      </c>
      <c r="AY463" s="82" t="s">
        <v>5596</v>
      </c>
      <c r="AZ463" s="82" t="s">
        <v>5342</v>
      </c>
      <c r="BA463" s="82" t="s">
        <v>5615</v>
      </c>
      <c r="BB463" s="82" t="s">
        <v>5615</v>
      </c>
      <c r="BC463" s="82" t="s">
        <v>5342</v>
      </c>
      <c r="BD463" s="82" t="s">
        <v>6000</v>
      </c>
      <c r="BE463" s="77"/>
      <c r="BF463" s="77"/>
      <c r="BG463" s="77"/>
      <c r="BH463" s="77"/>
      <c r="BI463" s="77"/>
    </row>
    <row r="464" spans="1:61" x14ac:dyDescent="0.25">
      <c r="A464" s="62" t="s">
        <v>426</v>
      </c>
      <c r="B464" s="62" t="s">
        <v>426</v>
      </c>
      <c r="C464" s="63"/>
      <c r="D464" s="64"/>
      <c r="E464" s="65"/>
      <c r="F464" s="66"/>
      <c r="G464" s="63"/>
      <c r="H464" s="67"/>
      <c r="I464" s="68"/>
      <c r="J464" s="68"/>
      <c r="K464" s="32"/>
      <c r="L464" s="75">
        <v>464</v>
      </c>
      <c r="M464" s="75"/>
      <c r="N464" s="70"/>
      <c r="O464" s="77" t="s">
        <v>179</v>
      </c>
      <c r="P464" s="79">
        <v>44962.967905092592</v>
      </c>
      <c r="Q464" s="77" t="s">
        <v>1045</v>
      </c>
      <c r="R464" s="77">
        <v>0</v>
      </c>
      <c r="S464" s="77">
        <v>0</v>
      </c>
      <c r="T464" s="77">
        <v>0</v>
      </c>
      <c r="U464" s="77">
        <v>0</v>
      </c>
      <c r="V464" s="77">
        <v>31</v>
      </c>
      <c r="W464" s="82" t="s">
        <v>1863</v>
      </c>
      <c r="X464" s="77"/>
      <c r="Y464" s="77"/>
      <c r="Z464" s="77"/>
      <c r="AA464" s="77"/>
      <c r="AB464" s="77"/>
      <c r="AC464" s="82" t="s">
        <v>2719</v>
      </c>
      <c r="AD464" s="77" t="s">
        <v>2752</v>
      </c>
      <c r="AE464" s="80" t="str">
        <f>HYPERLINK("https://twitter.com/leaodocarnaval/status/1622372945191387138")</f>
        <v>https://twitter.com/leaodocarnaval/status/1622372945191387138</v>
      </c>
      <c r="AF464" s="79">
        <v>44962.967905092592</v>
      </c>
      <c r="AG464" s="85">
        <v>44962</v>
      </c>
      <c r="AH464" s="82" t="s">
        <v>3215</v>
      </c>
      <c r="AI464" s="77"/>
      <c r="AJ464" s="77"/>
      <c r="AK464" s="77"/>
      <c r="AL464" s="77"/>
      <c r="AM464" s="77"/>
      <c r="AN464" s="77"/>
      <c r="AO464" s="77"/>
      <c r="AP464" s="77"/>
      <c r="AQ464" s="77"/>
      <c r="AR464" s="77"/>
      <c r="AS464" s="77"/>
      <c r="AT464" s="77"/>
      <c r="AU464" s="77"/>
      <c r="AV464" s="80" t="str">
        <f>HYPERLINK("https://pbs.twimg.com/profile_images/378800000391055410/af38c57b56487b3f94ed3570c602c4e7_normal.jpeg")</f>
        <v>https://pbs.twimg.com/profile_images/378800000391055410/af38c57b56487b3f94ed3570c602c4e7_normal.jpeg</v>
      </c>
      <c r="AW464" s="82" t="s">
        <v>4797</v>
      </c>
      <c r="AX464" s="82" t="s">
        <v>4797</v>
      </c>
      <c r="AY464" s="77"/>
      <c r="AZ464" s="82" t="s">
        <v>5615</v>
      </c>
      <c r="BA464" s="82" t="s">
        <v>5615</v>
      </c>
      <c r="BB464" s="82" t="s">
        <v>5615</v>
      </c>
      <c r="BC464" s="82" t="s">
        <v>4797</v>
      </c>
      <c r="BD464" s="77">
        <v>1187227664</v>
      </c>
      <c r="BE464" s="77"/>
      <c r="BF464" s="77"/>
      <c r="BG464" s="77"/>
      <c r="BH464" s="77"/>
      <c r="BI464" s="77"/>
    </row>
    <row r="465" spans="1:61" x14ac:dyDescent="0.25">
      <c r="A465" s="62" t="s">
        <v>427</v>
      </c>
      <c r="B465" s="62" t="s">
        <v>427</v>
      </c>
      <c r="C465" s="63"/>
      <c r="D465" s="64"/>
      <c r="E465" s="65"/>
      <c r="F465" s="66"/>
      <c r="G465" s="63"/>
      <c r="H465" s="67"/>
      <c r="I465" s="68"/>
      <c r="J465" s="68"/>
      <c r="K465" s="32"/>
      <c r="L465" s="75">
        <v>465</v>
      </c>
      <c r="M465" s="75"/>
      <c r="N465" s="70"/>
      <c r="O465" s="77" t="s">
        <v>583</v>
      </c>
      <c r="P465" s="79">
        <v>45191.559664351851</v>
      </c>
      <c r="Q465" s="77" t="s">
        <v>1046</v>
      </c>
      <c r="R465" s="77">
        <v>0</v>
      </c>
      <c r="S465" s="77">
        <v>0</v>
      </c>
      <c r="T465" s="77">
        <v>1</v>
      </c>
      <c r="U465" s="77">
        <v>0</v>
      </c>
      <c r="V465" s="77">
        <v>3</v>
      </c>
      <c r="W465" s="82" t="s">
        <v>1563</v>
      </c>
      <c r="X465" s="77"/>
      <c r="Y465" s="77"/>
      <c r="Z465" s="77"/>
      <c r="AA465" s="77"/>
      <c r="AB465" s="77"/>
      <c r="AC465" s="82" t="s">
        <v>2722</v>
      </c>
      <c r="AD465" s="77" t="s">
        <v>2752</v>
      </c>
      <c r="AE465" s="80" t="str">
        <f>HYPERLINK("https://twitter.com/web3pt/status/1705211825803943949")</f>
        <v>https://twitter.com/web3pt/status/1705211825803943949</v>
      </c>
      <c r="AF465" s="79">
        <v>45191.559664351851</v>
      </c>
      <c r="AG465" s="85">
        <v>45191</v>
      </c>
      <c r="AH465" s="82" t="s">
        <v>3216</v>
      </c>
      <c r="AI465" s="77"/>
      <c r="AJ465" s="77"/>
      <c r="AK465" s="77"/>
      <c r="AL465" s="77"/>
      <c r="AM465" s="77"/>
      <c r="AN465" s="77"/>
      <c r="AO465" s="77"/>
      <c r="AP465" s="77"/>
      <c r="AQ465" s="77"/>
      <c r="AR465" s="77"/>
      <c r="AS465" s="77"/>
      <c r="AT465" s="77"/>
      <c r="AU465" s="77"/>
      <c r="AV465" s="80" t="str">
        <f>HYPERLINK("https://pbs.twimg.com/profile_images/1705208609460625408/JjClzmyL_normal.jpg")</f>
        <v>https://pbs.twimg.com/profile_images/1705208609460625408/JjClzmyL_normal.jpg</v>
      </c>
      <c r="AW465" s="82" t="s">
        <v>4798</v>
      </c>
      <c r="AX465" s="82" t="s">
        <v>5343</v>
      </c>
      <c r="AY465" s="82" t="s">
        <v>5597</v>
      </c>
      <c r="AZ465" s="82" t="s">
        <v>5631</v>
      </c>
      <c r="BA465" s="82" t="s">
        <v>5615</v>
      </c>
      <c r="BB465" s="82" t="s">
        <v>5615</v>
      </c>
      <c r="BC465" s="82" t="s">
        <v>5631</v>
      </c>
      <c r="BD465" s="82" t="s">
        <v>5597</v>
      </c>
      <c r="BE465" s="77"/>
      <c r="BF465" s="77"/>
      <c r="BG465" s="77"/>
      <c r="BH465" s="77"/>
      <c r="BI465" s="77"/>
    </row>
    <row r="466" spans="1:61" x14ac:dyDescent="0.25">
      <c r="A466" s="62" t="s">
        <v>428</v>
      </c>
      <c r="B466" s="62" t="s">
        <v>428</v>
      </c>
      <c r="C466" s="63"/>
      <c r="D466" s="64"/>
      <c r="E466" s="65"/>
      <c r="F466" s="66"/>
      <c r="G466" s="63"/>
      <c r="H466" s="67"/>
      <c r="I466" s="68"/>
      <c r="J466" s="68"/>
      <c r="K466" s="32"/>
      <c r="L466" s="75">
        <v>466</v>
      </c>
      <c r="M466" s="75"/>
      <c r="N466" s="70"/>
      <c r="O466" s="77" t="s">
        <v>179</v>
      </c>
      <c r="P466" s="79">
        <v>44979.642997685187</v>
      </c>
      <c r="Q466" s="77" t="s">
        <v>1047</v>
      </c>
      <c r="R466" s="77">
        <v>2</v>
      </c>
      <c r="S466" s="77">
        <v>5</v>
      </c>
      <c r="T466" s="77">
        <v>0</v>
      </c>
      <c r="U466" s="77">
        <v>0</v>
      </c>
      <c r="V466" s="77">
        <v>216</v>
      </c>
      <c r="W466" s="82" t="s">
        <v>1864</v>
      </c>
      <c r="X466" s="77"/>
      <c r="Y466" s="77"/>
      <c r="Z466" s="77"/>
      <c r="AA466" s="77" t="s">
        <v>2505</v>
      </c>
      <c r="AB466" s="77" t="s">
        <v>2713</v>
      </c>
      <c r="AC466" s="82" t="s">
        <v>2719</v>
      </c>
      <c r="AD466" s="77" t="s">
        <v>2752</v>
      </c>
      <c r="AE466" s="80" t="str">
        <f>HYPERLINK("https://twitter.com/galaoda13/status/1628415797881196546")</f>
        <v>https://twitter.com/galaoda13/status/1628415797881196546</v>
      </c>
      <c r="AF466" s="79">
        <v>44979.642997685187</v>
      </c>
      <c r="AG466" s="85">
        <v>44979</v>
      </c>
      <c r="AH466" s="82" t="s">
        <v>3217</v>
      </c>
      <c r="AI466" s="77" t="b">
        <v>0</v>
      </c>
      <c r="AJ466" s="77"/>
      <c r="AK466" s="77"/>
      <c r="AL466" s="77"/>
      <c r="AM466" s="77"/>
      <c r="AN466" s="77"/>
      <c r="AO466" s="77"/>
      <c r="AP466" s="77"/>
      <c r="AQ466" s="77" t="s">
        <v>4131</v>
      </c>
      <c r="AR466" s="77">
        <v>89973</v>
      </c>
      <c r="AS466" s="77"/>
      <c r="AT466" s="77"/>
      <c r="AU466" s="77"/>
      <c r="AV466" s="80" t="str">
        <f>HYPERLINK("https://pbs.twimg.com/ext_tw_video_thumb/1628415722039742468/pu/img/uh88DKFlg4i4I9kM.jpg")</f>
        <v>https://pbs.twimg.com/ext_tw_video_thumb/1628415722039742468/pu/img/uh88DKFlg4i4I9kM.jpg</v>
      </c>
      <c r="AW466" s="82" t="s">
        <v>4799</v>
      </c>
      <c r="AX466" s="82" t="s">
        <v>4799</v>
      </c>
      <c r="AY466" s="77"/>
      <c r="AZ466" s="82" t="s">
        <v>5615</v>
      </c>
      <c r="BA466" s="82" t="s">
        <v>5615</v>
      </c>
      <c r="BB466" s="82" t="s">
        <v>5615</v>
      </c>
      <c r="BC466" s="82" t="s">
        <v>4799</v>
      </c>
      <c r="BD466" s="82" t="s">
        <v>6001</v>
      </c>
      <c r="BE466" s="77"/>
      <c r="BF466" s="77"/>
      <c r="BG466" s="77"/>
      <c r="BH466" s="77"/>
      <c r="BI466" s="77"/>
    </row>
    <row r="467" spans="1:61" x14ac:dyDescent="0.25">
      <c r="A467" s="62" t="s">
        <v>429</v>
      </c>
      <c r="B467" s="62" t="s">
        <v>429</v>
      </c>
      <c r="C467" s="63"/>
      <c r="D467" s="64"/>
      <c r="E467" s="65"/>
      <c r="F467" s="66"/>
      <c r="G467" s="63"/>
      <c r="H467" s="67"/>
      <c r="I467" s="68"/>
      <c r="J467" s="68"/>
      <c r="K467" s="32"/>
      <c r="L467" s="75">
        <v>467</v>
      </c>
      <c r="M467" s="75"/>
      <c r="N467" s="70"/>
      <c r="O467" s="77" t="s">
        <v>179</v>
      </c>
      <c r="P467" s="79">
        <v>45138.891423611109</v>
      </c>
      <c r="Q467" s="77" t="s">
        <v>1048</v>
      </c>
      <c r="R467" s="77">
        <v>0</v>
      </c>
      <c r="S467" s="77">
        <v>0</v>
      </c>
      <c r="T467" s="77">
        <v>0</v>
      </c>
      <c r="U467" s="77">
        <v>0</v>
      </c>
      <c r="V467" s="77">
        <v>72</v>
      </c>
      <c r="W467" s="82" t="s">
        <v>1865</v>
      </c>
      <c r="X467" s="77"/>
      <c r="Y467" s="77"/>
      <c r="Z467" s="77"/>
      <c r="AA467" s="77"/>
      <c r="AB467" s="77"/>
      <c r="AC467" s="82" t="s">
        <v>2722</v>
      </c>
      <c r="AD467" s="77" t="s">
        <v>2752</v>
      </c>
      <c r="AE467" s="80" t="str">
        <f>HYPERLINK("https://twitter.com/arthurvallephd/status/1686125495682043904")</f>
        <v>https://twitter.com/arthurvallephd/status/1686125495682043904</v>
      </c>
      <c r="AF467" s="79">
        <v>45138.891423611109</v>
      </c>
      <c r="AG467" s="85">
        <v>45138</v>
      </c>
      <c r="AH467" s="82" t="s">
        <v>3218</v>
      </c>
      <c r="AI467" s="77" t="b">
        <v>0</v>
      </c>
      <c r="AJ467" s="77"/>
      <c r="AK467" s="77"/>
      <c r="AL467" s="77"/>
      <c r="AM467" s="77"/>
      <c r="AN467" s="77"/>
      <c r="AO467" s="77"/>
      <c r="AP467" s="77"/>
      <c r="AQ467" s="77"/>
      <c r="AR467" s="77"/>
      <c r="AS467" s="77"/>
      <c r="AT467" s="77"/>
      <c r="AU467" s="77"/>
      <c r="AV467" s="80" t="str">
        <f>HYPERLINK("https://pbs.twimg.com/profile_images/1615501037283975171/ycPlUEDC_normal.jpg")</f>
        <v>https://pbs.twimg.com/profile_images/1615501037283975171/ycPlUEDC_normal.jpg</v>
      </c>
      <c r="AW467" s="82" t="s">
        <v>4800</v>
      </c>
      <c r="AX467" s="82" t="s">
        <v>4800</v>
      </c>
      <c r="AY467" s="77"/>
      <c r="AZ467" s="82" t="s">
        <v>5615</v>
      </c>
      <c r="BA467" s="82" t="s">
        <v>5615</v>
      </c>
      <c r="BB467" s="82" t="s">
        <v>5615</v>
      </c>
      <c r="BC467" s="82" t="s">
        <v>4800</v>
      </c>
      <c r="BD467" s="82" t="s">
        <v>6002</v>
      </c>
      <c r="BE467" s="77"/>
      <c r="BF467" s="77"/>
      <c r="BG467" s="77"/>
      <c r="BH467" s="77"/>
      <c r="BI467" s="77"/>
    </row>
    <row r="468" spans="1:61" x14ac:dyDescent="0.25">
      <c r="A468" s="62" t="s">
        <v>430</v>
      </c>
      <c r="B468" s="62" t="s">
        <v>430</v>
      </c>
      <c r="C468" s="63"/>
      <c r="D468" s="64"/>
      <c r="E468" s="65"/>
      <c r="F468" s="66"/>
      <c r="G468" s="63"/>
      <c r="H468" s="67"/>
      <c r="I468" s="68"/>
      <c r="J468" s="68"/>
      <c r="K468" s="32"/>
      <c r="L468" s="75">
        <v>468</v>
      </c>
      <c r="M468" s="75"/>
      <c r="N468" s="70"/>
      <c r="O468" s="77" t="s">
        <v>179</v>
      </c>
      <c r="P468" s="79">
        <v>45148.995706018519</v>
      </c>
      <c r="Q468" s="77" t="s">
        <v>1049</v>
      </c>
      <c r="R468" s="77">
        <v>0</v>
      </c>
      <c r="S468" s="77">
        <v>0</v>
      </c>
      <c r="T468" s="77">
        <v>0</v>
      </c>
      <c r="U468" s="77">
        <v>0</v>
      </c>
      <c r="V468" s="77">
        <v>21</v>
      </c>
      <c r="W468" s="82" t="s">
        <v>1866</v>
      </c>
      <c r="X468" s="77"/>
      <c r="Y468" s="77"/>
      <c r="Z468" s="77"/>
      <c r="AA468" s="77"/>
      <c r="AB468" s="77"/>
      <c r="AC468" s="82" t="s">
        <v>2720</v>
      </c>
      <c r="AD468" s="77" t="s">
        <v>2752</v>
      </c>
      <c r="AE468" s="80" t="str">
        <f>HYPERLINK("https://twitter.com/carlosteles__/status/1689787163087364096")</f>
        <v>https://twitter.com/carlosteles__/status/1689787163087364096</v>
      </c>
      <c r="AF468" s="79">
        <v>45148.995706018519</v>
      </c>
      <c r="AG468" s="85">
        <v>45148</v>
      </c>
      <c r="AH468" s="82" t="s">
        <v>3219</v>
      </c>
      <c r="AI468" s="77"/>
      <c r="AJ468" s="77"/>
      <c r="AK468" s="77"/>
      <c r="AL468" s="77"/>
      <c r="AM468" s="77"/>
      <c r="AN468" s="77"/>
      <c r="AO468" s="77"/>
      <c r="AP468" s="77"/>
      <c r="AQ468" s="77"/>
      <c r="AR468" s="77"/>
      <c r="AS468" s="77"/>
      <c r="AT468" s="77"/>
      <c r="AU468" s="77"/>
      <c r="AV468" s="80" t="str">
        <f>HYPERLINK("https://pbs.twimg.com/profile_images/1686086918222589952/6Iva1pFO_normal.jpg")</f>
        <v>https://pbs.twimg.com/profile_images/1686086918222589952/6Iva1pFO_normal.jpg</v>
      </c>
      <c r="AW468" s="82" t="s">
        <v>4801</v>
      </c>
      <c r="AX468" s="82" t="s">
        <v>4801</v>
      </c>
      <c r="AY468" s="77"/>
      <c r="AZ468" s="82" t="s">
        <v>5615</v>
      </c>
      <c r="BA468" s="82" t="s">
        <v>5615</v>
      </c>
      <c r="BB468" s="82" t="s">
        <v>5615</v>
      </c>
      <c r="BC468" s="82" t="s">
        <v>4801</v>
      </c>
      <c r="BD468" s="82" t="s">
        <v>6003</v>
      </c>
      <c r="BE468" s="77"/>
      <c r="BF468" s="77"/>
      <c r="BG468" s="77"/>
      <c r="BH468" s="77"/>
      <c r="BI468" s="77"/>
    </row>
    <row r="469" spans="1:61" x14ac:dyDescent="0.25">
      <c r="A469" s="62" t="s">
        <v>431</v>
      </c>
      <c r="B469" s="62" t="s">
        <v>431</v>
      </c>
      <c r="C469" s="63"/>
      <c r="D469" s="64"/>
      <c r="E469" s="65"/>
      <c r="F469" s="66"/>
      <c r="G469" s="63"/>
      <c r="H469" s="67"/>
      <c r="I469" s="68"/>
      <c r="J469" s="68"/>
      <c r="K469" s="32"/>
      <c r="L469" s="75">
        <v>469</v>
      </c>
      <c r="M469" s="75"/>
      <c r="N469" s="70"/>
      <c r="O469" s="77" t="s">
        <v>179</v>
      </c>
      <c r="P469" s="79">
        <v>45181.869074074071</v>
      </c>
      <c r="Q469" s="77" t="s">
        <v>1050</v>
      </c>
      <c r="R469" s="77">
        <v>0</v>
      </c>
      <c r="S469" s="77">
        <v>0</v>
      </c>
      <c r="T469" s="77">
        <v>0</v>
      </c>
      <c r="U469" s="77">
        <v>0</v>
      </c>
      <c r="V469" s="77">
        <v>42</v>
      </c>
      <c r="W469" s="82" t="s">
        <v>1867</v>
      </c>
      <c r="X469" s="77"/>
      <c r="Y469" s="77"/>
      <c r="Z469" s="77"/>
      <c r="AA469" s="77" t="s">
        <v>2506</v>
      </c>
      <c r="AB469" s="77" t="s">
        <v>2713</v>
      </c>
      <c r="AC469" s="82" t="s">
        <v>2720</v>
      </c>
      <c r="AD469" s="77" t="s">
        <v>2752</v>
      </c>
      <c r="AE469" s="80" t="str">
        <f>HYPERLINK("https://twitter.com/cludiamarq69376/status/1701700075964207179")</f>
        <v>https://twitter.com/cludiamarq69376/status/1701700075964207179</v>
      </c>
      <c r="AF469" s="79">
        <v>45181.869074074071</v>
      </c>
      <c r="AG469" s="85">
        <v>45181</v>
      </c>
      <c r="AH469" s="82" t="s">
        <v>3220</v>
      </c>
      <c r="AI469" s="77" t="b">
        <v>0</v>
      </c>
      <c r="AJ469" s="77"/>
      <c r="AK469" s="77"/>
      <c r="AL469" s="77"/>
      <c r="AM469" s="77"/>
      <c r="AN469" s="77"/>
      <c r="AO469" s="77"/>
      <c r="AP469" s="77"/>
      <c r="AQ469" s="77" t="s">
        <v>4132</v>
      </c>
      <c r="AR469" s="77">
        <v>17566</v>
      </c>
      <c r="AS469" s="77"/>
      <c r="AT469" s="77"/>
      <c r="AU469" s="77"/>
      <c r="AV469" s="80" t="str">
        <f>HYPERLINK("https://pbs.twimg.com/ext_tw_video_thumb/1701700049472823296/pu/img/JL3PBu4RKMbzNuAn.jpg")</f>
        <v>https://pbs.twimg.com/ext_tw_video_thumb/1701700049472823296/pu/img/JL3PBu4RKMbzNuAn.jpg</v>
      </c>
      <c r="AW469" s="82" t="s">
        <v>4802</v>
      </c>
      <c r="AX469" s="82" t="s">
        <v>4802</v>
      </c>
      <c r="AY469" s="77"/>
      <c r="AZ469" s="82" t="s">
        <v>5615</v>
      </c>
      <c r="BA469" s="82" t="s">
        <v>5615</v>
      </c>
      <c r="BB469" s="82" t="s">
        <v>5615</v>
      </c>
      <c r="BC469" s="82" t="s">
        <v>4802</v>
      </c>
      <c r="BD469" s="82" t="s">
        <v>6004</v>
      </c>
      <c r="BE469" s="77"/>
      <c r="BF469" s="77"/>
      <c r="BG469" s="77"/>
      <c r="BH469" s="77"/>
      <c r="BI469" s="77"/>
    </row>
    <row r="470" spans="1:61" x14ac:dyDescent="0.25">
      <c r="A470" s="62" t="s">
        <v>431</v>
      </c>
      <c r="B470" s="62" t="s">
        <v>431</v>
      </c>
      <c r="C470" s="63"/>
      <c r="D470" s="64"/>
      <c r="E470" s="65"/>
      <c r="F470" s="66"/>
      <c r="G470" s="63"/>
      <c r="H470" s="67"/>
      <c r="I470" s="68"/>
      <c r="J470" s="68"/>
      <c r="K470" s="32"/>
      <c r="L470" s="75">
        <v>470</v>
      </c>
      <c r="M470" s="75"/>
      <c r="N470" s="70"/>
      <c r="O470" s="77" t="s">
        <v>179</v>
      </c>
      <c r="P470" s="79">
        <v>45185.642418981479</v>
      </c>
      <c r="Q470" s="77" t="s">
        <v>1051</v>
      </c>
      <c r="R470" s="77">
        <v>0</v>
      </c>
      <c r="S470" s="77">
        <v>0</v>
      </c>
      <c r="T470" s="77">
        <v>0</v>
      </c>
      <c r="U470" s="77">
        <v>0</v>
      </c>
      <c r="V470" s="77">
        <v>10</v>
      </c>
      <c r="W470" s="82" t="s">
        <v>1868</v>
      </c>
      <c r="X470" s="77"/>
      <c r="Y470" s="77"/>
      <c r="Z470" s="77"/>
      <c r="AA470" s="77" t="s">
        <v>2507</v>
      </c>
      <c r="AB470" s="77" t="s">
        <v>2713</v>
      </c>
      <c r="AC470" s="82" t="s">
        <v>2720</v>
      </c>
      <c r="AD470" s="77" t="s">
        <v>2752</v>
      </c>
      <c r="AE470" s="80" t="str">
        <f>HYPERLINK("https://twitter.com/cludiamarq69376/status/1703067488286609414")</f>
        <v>https://twitter.com/cludiamarq69376/status/1703067488286609414</v>
      </c>
      <c r="AF470" s="79">
        <v>45185.642418981479</v>
      </c>
      <c r="AG470" s="85">
        <v>45185</v>
      </c>
      <c r="AH470" s="82" t="s">
        <v>3221</v>
      </c>
      <c r="AI470" s="77" t="b">
        <v>0</v>
      </c>
      <c r="AJ470" s="77"/>
      <c r="AK470" s="77"/>
      <c r="AL470" s="77"/>
      <c r="AM470" s="77"/>
      <c r="AN470" s="77"/>
      <c r="AO470" s="77"/>
      <c r="AP470" s="77"/>
      <c r="AQ470" s="77" t="s">
        <v>4133</v>
      </c>
      <c r="AR470" s="77">
        <v>9766</v>
      </c>
      <c r="AS470" s="77"/>
      <c r="AT470" s="77"/>
      <c r="AU470" s="77"/>
      <c r="AV470" s="80" t="str">
        <f>HYPERLINK("https://pbs.twimg.com/ext_tw_video_thumb/1703067439863316480/pu/img/734x3LL6veNRv9rT.jpg")</f>
        <v>https://pbs.twimg.com/ext_tw_video_thumb/1703067439863316480/pu/img/734x3LL6veNRv9rT.jpg</v>
      </c>
      <c r="AW470" s="82" t="s">
        <v>4803</v>
      </c>
      <c r="AX470" s="82" t="s">
        <v>4803</v>
      </c>
      <c r="AY470" s="77"/>
      <c r="AZ470" s="82" t="s">
        <v>5615</v>
      </c>
      <c r="BA470" s="82" t="s">
        <v>5615</v>
      </c>
      <c r="BB470" s="82" t="s">
        <v>5615</v>
      </c>
      <c r="BC470" s="82" t="s">
        <v>4803</v>
      </c>
      <c r="BD470" s="82" t="s">
        <v>6004</v>
      </c>
      <c r="BE470" s="77"/>
      <c r="BF470" s="77"/>
      <c r="BG470" s="77"/>
      <c r="BH470" s="77"/>
      <c r="BI470" s="77"/>
    </row>
    <row r="471" spans="1:61" x14ac:dyDescent="0.25">
      <c r="A471" s="62" t="s">
        <v>431</v>
      </c>
      <c r="B471" s="62" t="s">
        <v>431</v>
      </c>
      <c r="C471" s="63"/>
      <c r="D471" s="64"/>
      <c r="E471" s="65"/>
      <c r="F471" s="66"/>
      <c r="G471" s="63"/>
      <c r="H471" s="67"/>
      <c r="I471" s="68"/>
      <c r="J471" s="68"/>
      <c r="K471" s="32"/>
      <c r="L471" s="75">
        <v>471</v>
      </c>
      <c r="M471" s="75"/>
      <c r="N471" s="70"/>
      <c r="O471" s="77" t="s">
        <v>179</v>
      </c>
      <c r="P471" s="79">
        <v>45187.543645833335</v>
      </c>
      <c r="Q471" s="77" t="s">
        <v>1052</v>
      </c>
      <c r="R471" s="77">
        <v>0</v>
      </c>
      <c r="S471" s="77">
        <v>0</v>
      </c>
      <c r="T471" s="77">
        <v>0</v>
      </c>
      <c r="U471" s="77">
        <v>0</v>
      </c>
      <c r="V471" s="77">
        <v>4</v>
      </c>
      <c r="W471" s="82" t="s">
        <v>1869</v>
      </c>
      <c r="X471" s="77"/>
      <c r="Y471" s="77"/>
      <c r="Z471" s="77"/>
      <c r="AA471" s="77" t="s">
        <v>2508</v>
      </c>
      <c r="AB471" s="77" t="s">
        <v>2713</v>
      </c>
      <c r="AC471" s="82" t="s">
        <v>2720</v>
      </c>
      <c r="AD471" s="77" t="s">
        <v>2752</v>
      </c>
      <c r="AE471" s="80" t="str">
        <f>HYPERLINK("https://twitter.com/cludiamarq69376/status/1703756472511795249")</f>
        <v>https://twitter.com/cludiamarq69376/status/1703756472511795249</v>
      </c>
      <c r="AF471" s="79">
        <v>45187.543645833335</v>
      </c>
      <c r="AG471" s="85">
        <v>45187</v>
      </c>
      <c r="AH471" s="82" t="s">
        <v>3222</v>
      </c>
      <c r="AI471" s="77" t="b">
        <v>0</v>
      </c>
      <c r="AJ471" s="77"/>
      <c r="AK471" s="77"/>
      <c r="AL471" s="77"/>
      <c r="AM471" s="77"/>
      <c r="AN471" s="77"/>
      <c r="AO471" s="77"/>
      <c r="AP471" s="77"/>
      <c r="AQ471" s="77" t="s">
        <v>4134</v>
      </c>
      <c r="AR471" s="77">
        <v>10200</v>
      </c>
      <c r="AS471" s="77"/>
      <c r="AT471" s="77"/>
      <c r="AU471" s="77"/>
      <c r="AV471" s="80" t="str">
        <f>HYPERLINK("https://pbs.twimg.com/ext_tw_video_thumb/1703756436176588800/pu/img/N6I5pr3gWO0yG2-L.jpg")</f>
        <v>https://pbs.twimg.com/ext_tw_video_thumb/1703756436176588800/pu/img/N6I5pr3gWO0yG2-L.jpg</v>
      </c>
      <c r="AW471" s="82" t="s">
        <v>4804</v>
      </c>
      <c r="AX471" s="82" t="s">
        <v>4804</v>
      </c>
      <c r="AY471" s="77"/>
      <c r="AZ471" s="82" t="s">
        <v>5615</v>
      </c>
      <c r="BA471" s="82" t="s">
        <v>5615</v>
      </c>
      <c r="BB471" s="82" t="s">
        <v>5615</v>
      </c>
      <c r="BC471" s="82" t="s">
        <v>4804</v>
      </c>
      <c r="BD471" s="82" t="s">
        <v>6004</v>
      </c>
      <c r="BE471" s="77"/>
      <c r="BF471" s="77"/>
      <c r="BG471" s="77"/>
      <c r="BH471" s="77"/>
      <c r="BI471" s="77"/>
    </row>
    <row r="472" spans="1:61" x14ac:dyDescent="0.25">
      <c r="A472" s="62" t="s">
        <v>432</v>
      </c>
      <c r="B472" s="62" t="s">
        <v>567</v>
      </c>
      <c r="C472" s="63"/>
      <c r="D472" s="64"/>
      <c r="E472" s="65"/>
      <c r="F472" s="66"/>
      <c r="G472" s="63"/>
      <c r="H472" s="67"/>
      <c r="I472" s="68"/>
      <c r="J472" s="68"/>
      <c r="K472" s="32"/>
      <c r="L472" s="75">
        <v>472</v>
      </c>
      <c r="M472" s="75"/>
      <c r="N472" s="70"/>
      <c r="O472" s="77" t="s">
        <v>586</v>
      </c>
      <c r="P472" s="79">
        <v>44998.825995370367</v>
      </c>
      <c r="Q472" s="77" t="s">
        <v>1053</v>
      </c>
      <c r="R472" s="77">
        <v>0</v>
      </c>
      <c r="S472" s="77">
        <v>0</v>
      </c>
      <c r="T472" s="77">
        <v>0</v>
      </c>
      <c r="U472" s="77">
        <v>0</v>
      </c>
      <c r="V472" s="77">
        <v>3</v>
      </c>
      <c r="W472" s="82" t="s">
        <v>1870</v>
      </c>
      <c r="X472" s="80" t="str">
        <f>HYPERLINK("https://youtube.com/shorts/PFdsYx5grTE?feature=share")</f>
        <v>https://youtube.com/shorts/PFdsYx5grTE?feature=share</v>
      </c>
      <c r="Y472" s="77" t="s">
        <v>2140</v>
      </c>
      <c r="Z472" s="77" t="s">
        <v>567</v>
      </c>
      <c r="AA472" s="77"/>
      <c r="AB472" s="77"/>
      <c r="AC472" s="82" t="s">
        <v>2720</v>
      </c>
      <c r="AD472" s="77" t="s">
        <v>2752</v>
      </c>
      <c r="AE472" s="80" t="str">
        <f>HYPERLINK("https://twitter.com/maycomprei/status/1635367486031003649")</f>
        <v>https://twitter.com/maycomprei/status/1635367486031003649</v>
      </c>
      <c r="AF472" s="79">
        <v>44998.825995370367</v>
      </c>
      <c r="AG472" s="85">
        <v>44998</v>
      </c>
      <c r="AH472" s="82" t="s">
        <v>3223</v>
      </c>
      <c r="AI472" s="77" t="b">
        <v>0</v>
      </c>
      <c r="AJ472" s="77"/>
      <c r="AK472" s="77"/>
      <c r="AL472" s="77"/>
      <c r="AM472" s="77"/>
      <c r="AN472" s="77"/>
      <c r="AO472" s="77"/>
      <c r="AP472" s="77"/>
      <c r="AQ472" s="77"/>
      <c r="AR472" s="77"/>
      <c r="AS472" s="77"/>
      <c r="AT472" s="77"/>
      <c r="AU472" s="77"/>
      <c r="AV472" s="80" t="str">
        <f>HYPERLINK("https://pbs.twimg.com/profile_images/1627382812205543425/CBj0biKe_normal.jpg")</f>
        <v>https://pbs.twimg.com/profile_images/1627382812205543425/CBj0biKe_normal.jpg</v>
      </c>
      <c r="AW472" s="82" t="s">
        <v>4805</v>
      </c>
      <c r="AX472" s="82" t="s">
        <v>4805</v>
      </c>
      <c r="AY472" s="77"/>
      <c r="AZ472" s="82" t="s">
        <v>5615</v>
      </c>
      <c r="BA472" s="82" t="s">
        <v>5615</v>
      </c>
      <c r="BB472" s="82" t="s">
        <v>5615</v>
      </c>
      <c r="BC472" s="82" t="s">
        <v>4805</v>
      </c>
      <c r="BD472" s="77">
        <v>299907538</v>
      </c>
      <c r="BE472" s="77"/>
      <c r="BF472" s="77"/>
      <c r="BG472" s="77"/>
      <c r="BH472" s="77"/>
      <c r="BI472" s="77"/>
    </row>
    <row r="473" spans="1:61" x14ac:dyDescent="0.25">
      <c r="A473" s="62" t="s">
        <v>432</v>
      </c>
      <c r="B473" s="62" t="s">
        <v>432</v>
      </c>
      <c r="C473" s="63"/>
      <c r="D473" s="64"/>
      <c r="E473" s="65"/>
      <c r="F473" s="66"/>
      <c r="G473" s="63"/>
      <c r="H473" s="67"/>
      <c r="I473" s="68"/>
      <c r="J473" s="68"/>
      <c r="K473" s="32"/>
      <c r="L473" s="75">
        <v>473</v>
      </c>
      <c r="M473" s="75"/>
      <c r="N473" s="70"/>
      <c r="O473" s="77" t="s">
        <v>179</v>
      </c>
      <c r="P473" s="79">
        <v>44996.078645833331</v>
      </c>
      <c r="Q473" s="77" t="s">
        <v>1054</v>
      </c>
      <c r="R473" s="77">
        <v>0</v>
      </c>
      <c r="S473" s="77">
        <v>0</v>
      </c>
      <c r="T473" s="77">
        <v>0</v>
      </c>
      <c r="U473" s="77">
        <v>0</v>
      </c>
      <c r="V473" s="77">
        <v>5</v>
      </c>
      <c r="W473" s="82" t="s">
        <v>1871</v>
      </c>
      <c r="X473" s="80" t="str">
        <f>HYPERLINK("https://youtube.com/shorts/PFdsYx5grTE?feature=share")</f>
        <v>https://youtube.com/shorts/PFdsYx5grTE?feature=share</v>
      </c>
      <c r="Y473" s="77" t="s">
        <v>2140</v>
      </c>
      <c r="Z473" s="77"/>
      <c r="AA473" s="77"/>
      <c r="AB473" s="77"/>
      <c r="AC473" s="82" t="s">
        <v>2720</v>
      </c>
      <c r="AD473" s="77" t="s">
        <v>2752</v>
      </c>
      <c r="AE473" s="80" t="str">
        <f>HYPERLINK("https://twitter.com/maycomprei/status/1634371877866205184")</f>
        <v>https://twitter.com/maycomprei/status/1634371877866205184</v>
      </c>
      <c r="AF473" s="79">
        <v>44996.078645833331</v>
      </c>
      <c r="AG473" s="85">
        <v>44996</v>
      </c>
      <c r="AH473" s="82" t="s">
        <v>3224</v>
      </c>
      <c r="AI473" s="77" t="b">
        <v>0</v>
      </c>
      <c r="AJ473" s="77"/>
      <c r="AK473" s="77"/>
      <c r="AL473" s="77"/>
      <c r="AM473" s="77"/>
      <c r="AN473" s="77"/>
      <c r="AO473" s="77"/>
      <c r="AP473" s="77"/>
      <c r="AQ473" s="77"/>
      <c r="AR473" s="77"/>
      <c r="AS473" s="77"/>
      <c r="AT473" s="77"/>
      <c r="AU473" s="77"/>
      <c r="AV473" s="80" t="str">
        <f>HYPERLINK("https://pbs.twimg.com/profile_images/1627382812205543425/CBj0biKe_normal.jpg")</f>
        <v>https://pbs.twimg.com/profile_images/1627382812205543425/CBj0biKe_normal.jpg</v>
      </c>
      <c r="AW473" s="82" t="s">
        <v>4806</v>
      </c>
      <c r="AX473" s="82" t="s">
        <v>4806</v>
      </c>
      <c r="AY473" s="77"/>
      <c r="AZ473" s="82" t="s">
        <v>5615</v>
      </c>
      <c r="BA473" s="82" t="s">
        <v>5615</v>
      </c>
      <c r="BB473" s="82" t="s">
        <v>5615</v>
      </c>
      <c r="BC473" s="82" t="s">
        <v>4806</v>
      </c>
      <c r="BD473" s="77">
        <v>299907538</v>
      </c>
      <c r="BE473" s="77"/>
      <c r="BF473" s="77"/>
      <c r="BG473" s="77"/>
      <c r="BH473" s="77"/>
      <c r="BI473" s="77"/>
    </row>
    <row r="474" spans="1:61" x14ac:dyDescent="0.25">
      <c r="A474" s="62" t="s">
        <v>432</v>
      </c>
      <c r="B474" s="62" t="s">
        <v>567</v>
      </c>
      <c r="C474" s="63"/>
      <c r="D474" s="64"/>
      <c r="E474" s="65"/>
      <c r="F474" s="66"/>
      <c r="G474" s="63"/>
      <c r="H474" s="67"/>
      <c r="I474" s="68"/>
      <c r="J474" s="68"/>
      <c r="K474" s="32"/>
      <c r="L474" s="75">
        <v>474</v>
      </c>
      <c r="M474" s="75"/>
      <c r="N474" s="70"/>
      <c r="O474" s="77" t="s">
        <v>586</v>
      </c>
      <c r="P474" s="79">
        <v>44995.923483796294</v>
      </c>
      <c r="Q474" s="77" t="s">
        <v>1055</v>
      </c>
      <c r="R474" s="77">
        <v>0</v>
      </c>
      <c r="S474" s="77">
        <v>1</v>
      </c>
      <c r="T474" s="77">
        <v>0</v>
      </c>
      <c r="U474" s="77">
        <v>0</v>
      </c>
      <c r="V474" s="77">
        <v>6</v>
      </c>
      <c r="W474" s="82" t="s">
        <v>1870</v>
      </c>
      <c r="X474" s="80" t="str">
        <f>HYPERLINK("https://youtube.com/shorts/PFdsYx5grTE?feature=share")</f>
        <v>https://youtube.com/shorts/PFdsYx5grTE?feature=share</v>
      </c>
      <c r="Y474" s="77" t="s">
        <v>2140</v>
      </c>
      <c r="Z474" s="77" t="s">
        <v>567</v>
      </c>
      <c r="AA474" s="77" t="s">
        <v>2509</v>
      </c>
      <c r="AB474" s="77" t="s">
        <v>2713</v>
      </c>
      <c r="AC474" s="82" t="s">
        <v>2720</v>
      </c>
      <c r="AD474" s="77" t="s">
        <v>2752</v>
      </c>
      <c r="AE474" s="80" t="str">
        <f>HYPERLINK("https://twitter.com/maycomprei/status/1634315647252418560")</f>
        <v>https://twitter.com/maycomprei/status/1634315647252418560</v>
      </c>
      <c r="AF474" s="79">
        <v>44995.923483796294</v>
      </c>
      <c r="AG474" s="85">
        <v>44995</v>
      </c>
      <c r="AH474" s="82" t="s">
        <v>3225</v>
      </c>
      <c r="AI474" s="77" t="b">
        <v>0</v>
      </c>
      <c r="AJ474" s="77"/>
      <c r="AK474" s="77"/>
      <c r="AL474" s="77"/>
      <c r="AM474" s="77"/>
      <c r="AN474" s="77"/>
      <c r="AO474" s="77"/>
      <c r="AP474" s="77"/>
      <c r="AQ474" s="77" t="s">
        <v>4135</v>
      </c>
      <c r="AR474" s="77">
        <v>26033</v>
      </c>
      <c r="AS474" s="77"/>
      <c r="AT474" s="77"/>
      <c r="AU474" s="77"/>
      <c r="AV474" s="80" t="str">
        <f>HYPERLINK("https://pbs.twimg.com/ext_tw_video_thumb/1634315589673009157/pu/img/TXjJWWYY2Q8yylFp.jpg")</f>
        <v>https://pbs.twimg.com/ext_tw_video_thumb/1634315589673009157/pu/img/TXjJWWYY2Q8yylFp.jpg</v>
      </c>
      <c r="AW474" s="82" t="s">
        <v>4807</v>
      </c>
      <c r="AX474" s="82" t="s">
        <v>4807</v>
      </c>
      <c r="AY474" s="77"/>
      <c r="AZ474" s="82" t="s">
        <v>5615</v>
      </c>
      <c r="BA474" s="82" t="s">
        <v>5615</v>
      </c>
      <c r="BB474" s="82" t="s">
        <v>5615</v>
      </c>
      <c r="BC474" s="82" t="s">
        <v>4807</v>
      </c>
      <c r="BD474" s="77">
        <v>299907538</v>
      </c>
      <c r="BE474" s="77"/>
      <c r="BF474" s="77"/>
      <c r="BG474" s="77"/>
      <c r="BH474" s="77"/>
      <c r="BI474" s="77"/>
    </row>
    <row r="475" spans="1:61" x14ac:dyDescent="0.25">
      <c r="A475" s="62" t="s">
        <v>432</v>
      </c>
      <c r="B475" s="62" t="s">
        <v>432</v>
      </c>
      <c r="C475" s="63"/>
      <c r="D475" s="64"/>
      <c r="E475" s="65"/>
      <c r="F475" s="66"/>
      <c r="G475" s="63"/>
      <c r="H475" s="67"/>
      <c r="I475" s="68"/>
      <c r="J475" s="68"/>
      <c r="K475" s="32"/>
      <c r="L475" s="75">
        <v>475</v>
      </c>
      <c r="M475" s="75"/>
      <c r="N475" s="70"/>
      <c r="O475" s="77" t="s">
        <v>179</v>
      </c>
      <c r="P475" s="79">
        <v>44995.901828703703</v>
      </c>
      <c r="Q475" s="77" t="s">
        <v>1056</v>
      </c>
      <c r="R475" s="77">
        <v>0</v>
      </c>
      <c r="S475" s="77">
        <v>0</v>
      </c>
      <c r="T475" s="77">
        <v>0</v>
      </c>
      <c r="U475" s="77">
        <v>0</v>
      </c>
      <c r="V475" s="77">
        <v>6</v>
      </c>
      <c r="W475" s="82" t="s">
        <v>1872</v>
      </c>
      <c r="X475" s="80" t="str">
        <f>HYPERLINK("https://vm.tiktok.com/ZMYauy5Y3/")</f>
        <v>https://vm.tiktok.com/ZMYauy5Y3/</v>
      </c>
      <c r="Y475" s="77" t="s">
        <v>2161</v>
      </c>
      <c r="Z475" s="77"/>
      <c r="AA475" s="77"/>
      <c r="AB475" s="77"/>
      <c r="AC475" s="82" t="s">
        <v>2720</v>
      </c>
      <c r="AD475" s="77" t="s">
        <v>2752</v>
      </c>
      <c r="AE475" s="80" t="str">
        <f>HYPERLINK("https://twitter.com/maycomprei/status/1634307803295694853")</f>
        <v>https://twitter.com/maycomprei/status/1634307803295694853</v>
      </c>
      <c r="AF475" s="79">
        <v>44995.901828703703</v>
      </c>
      <c r="AG475" s="85">
        <v>44995</v>
      </c>
      <c r="AH475" s="82" t="s">
        <v>3226</v>
      </c>
      <c r="AI475" s="77" t="b">
        <v>0</v>
      </c>
      <c r="AJ475" s="77"/>
      <c r="AK475" s="77"/>
      <c r="AL475" s="77"/>
      <c r="AM475" s="77"/>
      <c r="AN475" s="77"/>
      <c r="AO475" s="77"/>
      <c r="AP475" s="77"/>
      <c r="AQ475" s="77"/>
      <c r="AR475" s="77"/>
      <c r="AS475" s="77"/>
      <c r="AT475" s="77"/>
      <c r="AU475" s="77"/>
      <c r="AV475" s="80" t="str">
        <f>HYPERLINK("https://pbs.twimg.com/profile_images/1627382812205543425/CBj0biKe_normal.jpg")</f>
        <v>https://pbs.twimg.com/profile_images/1627382812205543425/CBj0biKe_normal.jpg</v>
      </c>
      <c r="AW475" s="82" t="s">
        <v>4808</v>
      </c>
      <c r="AX475" s="82" t="s">
        <v>4808</v>
      </c>
      <c r="AY475" s="77"/>
      <c r="AZ475" s="82" t="s">
        <v>5615</v>
      </c>
      <c r="BA475" s="82" t="s">
        <v>5615</v>
      </c>
      <c r="BB475" s="82" t="s">
        <v>5615</v>
      </c>
      <c r="BC475" s="82" t="s">
        <v>4808</v>
      </c>
      <c r="BD475" s="77">
        <v>299907538</v>
      </c>
      <c r="BE475" s="77"/>
      <c r="BF475" s="77"/>
      <c r="BG475" s="77"/>
      <c r="BH475" s="77"/>
      <c r="BI475" s="77"/>
    </row>
    <row r="476" spans="1:61" x14ac:dyDescent="0.25">
      <c r="A476" s="62" t="s">
        <v>432</v>
      </c>
      <c r="B476" s="62" t="s">
        <v>432</v>
      </c>
      <c r="C476" s="63"/>
      <c r="D476" s="64"/>
      <c r="E476" s="65"/>
      <c r="F476" s="66"/>
      <c r="G476" s="63"/>
      <c r="H476" s="67"/>
      <c r="I476" s="68"/>
      <c r="J476" s="68"/>
      <c r="K476" s="32"/>
      <c r="L476" s="75">
        <v>476</v>
      </c>
      <c r="M476" s="75"/>
      <c r="N476" s="70"/>
      <c r="O476" s="77" t="s">
        <v>179</v>
      </c>
      <c r="P476" s="79">
        <v>44995.787951388891</v>
      </c>
      <c r="Q476" s="77" t="s">
        <v>1057</v>
      </c>
      <c r="R476" s="77">
        <v>0</v>
      </c>
      <c r="S476" s="77">
        <v>0</v>
      </c>
      <c r="T476" s="77">
        <v>0</v>
      </c>
      <c r="U476" s="77">
        <v>0</v>
      </c>
      <c r="V476" s="77">
        <v>1</v>
      </c>
      <c r="W476" s="82" t="s">
        <v>1871</v>
      </c>
      <c r="X476" s="80" t="str">
        <f>HYPERLINK("https://www.instagram.com/reel/CpnfxEDJ2gA/?igshid=MDJmNzVkMjY=")</f>
        <v>https://www.instagram.com/reel/CpnfxEDJ2gA/?igshid=MDJmNzVkMjY=</v>
      </c>
      <c r="Y476" s="77" t="s">
        <v>2130</v>
      </c>
      <c r="Z476" s="77"/>
      <c r="AA476" s="77"/>
      <c r="AB476" s="77"/>
      <c r="AC476" s="82" t="s">
        <v>2720</v>
      </c>
      <c r="AD476" s="77" t="s">
        <v>2752</v>
      </c>
      <c r="AE476" s="80" t="str">
        <f>HYPERLINK("https://twitter.com/maycomprei/status/1634266531730280461")</f>
        <v>https://twitter.com/maycomprei/status/1634266531730280461</v>
      </c>
      <c r="AF476" s="79">
        <v>44995.787951388891</v>
      </c>
      <c r="AG476" s="85">
        <v>44995</v>
      </c>
      <c r="AH476" s="82" t="s">
        <v>3227</v>
      </c>
      <c r="AI476" s="77" t="b">
        <v>0</v>
      </c>
      <c r="AJ476" s="77"/>
      <c r="AK476" s="77"/>
      <c r="AL476" s="77"/>
      <c r="AM476" s="77"/>
      <c r="AN476" s="77"/>
      <c r="AO476" s="77"/>
      <c r="AP476" s="77"/>
      <c r="AQ476" s="77"/>
      <c r="AR476" s="77"/>
      <c r="AS476" s="77"/>
      <c r="AT476" s="77"/>
      <c r="AU476" s="77"/>
      <c r="AV476" s="80" t="str">
        <f>HYPERLINK("https://pbs.twimg.com/profile_images/1627382812205543425/CBj0biKe_normal.jpg")</f>
        <v>https://pbs.twimg.com/profile_images/1627382812205543425/CBj0biKe_normal.jpg</v>
      </c>
      <c r="AW476" s="82" t="s">
        <v>4809</v>
      </c>
      <c r="AX476" s="82" t="s">
        <v>4809</v>
      </c>
      <c r="AY476" s="77"/>
      <c r="AZ476" s="82" t="s">
        <v>5615</v>
      </c>
      <c r="BA476" s="82" t="s">
        <v>5615</v>
      </c>
      <c r="BB476" s="82" t="s">
        <v>5615</v>
      </c>
      <c r="BC476" s="82" t="s">
        <v>4809</v>
      </c>
      <c r="BD476" s="77">
        <v>299907538</v>
      </c>
      <c r="BE476" s="77"/>
      <c r="BF476" s="77"/>
      <c r="BG476" s="77"/>
      <c r="BH476" s="77"/>
      <c r="BI476" s="77"/>
    </row>
    <row r="477" spans="1:61" x14ac:dyDescent="0.25">
      <c r="A477" s="62" t="s">
        <v>432</v>
      </c>
      <c r="B477" s="62" t="s">
        <v>567</v>
      </c>
      <c r="C477" s="63"/>
      <c r="D477" s="64"/>
      <c r="E477" s="65"/>
      <c r="F477" s="66"/>
      <c r="G477" s="63"/>
      <c r="H477" s="67"/>
      <c r="I477" s="68"/>
      <c r="J477" s="68"/>
      <c r="K477" s="32"/>
      <c r="L477" s="75">
        <v>477</v>
      </c>
      <c r="M477" s="75"/>
      <c r="N477" s="70"/>
      <c r="O477" s="77" t="s">
        <v>586</v>
      </c>
      <c r="P477" s="79">
        <v>44995.764097222222</v>
      </c>
      <c r="Q477" s="77" t="s">
        <v>1058</v>
      </c>
      <c r="R477" s="77">
        <v>0</v>
      </c>
      <c r="S477" s="77">
        <v>0</v>
      </c>
      <c r="T477" s="77">
        <v>0</v>
      </c>
      <c r="U477" s="77">
        <v>0</v>
      </c>
      <c r="V477" s="77">
        <v>6</v>
      </c>
      <c r="W477" s="82" t="s">
        <v>1870</v>
      </c>
      <c r="X477" s="80" t="str">
        <f>HYPERLINK("https://youtube.com/shorts/PFdsYx5grTE?feature=share")</f>
        <v>https://youtube.com/shorts/PFdsYx5grTE?feature=share</v>
      </c>
      <c r="Y477" s="77" t="s">
        <v>2140</v>
      </c>
      <c r="Z477" s="77" t="s">
        <v>567</v>
      </c>
      <c r="AA477" s="77"/>
      <c r="AB477" s="77"/>
      <c r="AC477" s="82" t="s">
        <v>2720</v>
      </c>
      <c r="AD477" s="77" t="s">
        <v>2752</v>
      </c>
      <c r="AE477" s="80" t="str">
        <f>HYPERLINK("https://twitter.com/maycomprei/status/1634257889660379153")</f>
        <v>https://twitter.com/maycomprei/status/1634257889660379153</v>
      </c>
      <c r="AF477" s="79">
        <v>44995.764097222222</v>
      </c>
      <c r="AG477" s="85">
        <v>44995</v>
      </c>
      <c r="AH477" s="82" t="s">
        <v>3228</v>
      </c>
      <c r="AI477" s="77" t="b">
        <v>0</v>
      </c>
      <c r="AJ477" s="77"/>
      <c r="AK477" s="77"/>
      <c r="AL477" s="77"/>
      <c r="AM477" s="77"/>
      <c r="AN477" s="77"/>
      <c r="AO477" s="77"/>
      <c r="AP477" s="77"/>
      <c r="AQ477" s="77"/>
      <c r="AR477" s="77"/>
      <c r="AS477" s="77"/>
      <c r="AT477" s="77"/>
      <c r="AU477" s="77"/>
      <c r="AV477" s="80" t="str">
        <f>HYPERLINK("https://pbs.twimg.com/profile_images/1627382812205543425/CBj0biKe_normal.jpg")</f>
        <v>https://pbs.twimg.com/profile_images/1627382812205543425/CBj0biKe_normal.jpg</v>
      </c>
      <c r="AW477" s="82" t="s">
        <v>4810</v>
      </c>
      <c r="AX477" s="82" t="s">
        <v>4810</v>
      </c>
      <c r="AY477" s="77"/>
      <c r="AZ477" s="82" t="s">
        <v>5615</v>
      </c>
      <c r="BA477" s="82" t="s">
        <v>5615</v>
      </c>
      <c r="BB477" s="82" t="s">
        <v>5615</v>
      </c>
      <c r="BC477" s="82" t="s">
        <v>4810</v>
      </c>
      <c r="BD477" s="77">
        <v>299907538</v>
      </c>
      <c r="BE477" s="77"/>
      <c r="BF477" s="77"/>
      <c r="BG477" s="77"/>
      <c r="BH477" s="77"/>
      <c r="BI477" s="77"/>
    </row>
    <row r="478" spans="1:61" x14ac:dyDescent="0.25">
      <c r="A478" s="62" t="s">
        <v>432</v>
      </c>
      <c r="B478" s="62" t="s">
        <v>432</v>
      </c>
      <c r="C478" s="63"/>
      <c r="D478" s="64"/>
      <c r="E478" s="65"/>
      <c r="F478" s="66"/>
      <c r="G478" s="63"/>
      <c r="H478" s="67"/>
      <c r="I478" s="68"/>
      <c r="J478" s="68"/>
      <c r="K478" s="32"/>
      <c r="L478" s="75">
        <v>478</v>
      </c>
      <c r="M478" s="75"/>
      <c r="N478" s="70"/>
      <c r="O478" s="77" t="s">
        <v>179</v>
      </c>
      <c r="P478" s="79">
        <v>44995.757025462961</v>
      </c>
      <c r="Q478" s="77" t="s">
        <v>1059</v>
      </c>
      <c r="R478" s="77">
        <v>0</v>
      </c>
      <c r="S478" s="77">
        <v>0</v>
      </c>
      <c r="T478" s="77">
        <v>0</v>
      </c>
      <c r="U478" s="77">
        <v>0</v>
      </c>
      <c r="V478" s="77">
        <v>3</v>
      </c>
      <c r="W478" s="82" t="s">
        <v>1873</v>
      </c>
      <c r="X478" s="80" t="str">
        <f>HYPERLINK("https://vm.tiktok.com/ZMYafomse/")</f>
        <v>https://vm.tiktok.com/ZMYafomse/</v>
      </c>
      <c r="Y478" s="77" t="s">
        <v>2161</v>
      </c>
      <c r="Z478" s="77"/>
      <c r="AA478" s="77"/>
      <c r="AB478" s="77"/>
      <c r="AC478" s="82" t="s">
        <v>2720</v>
      </c>
      <c r="AD478" s="77" t="s">
        <v>2752</v>
      </c>
      <c r="AE478" s="80" t="str">
        <f>HYPERLINK("https://twitter.com/maycomprei/status/1634255327590752265")</f>
        <v>https://twitter.com/maycomprei/status/1634255327590752265</v>
      </c>
      <c r="AF478" s="79">
        <v>44995.757025462961</v>
      </c>
      <c r="AG478" s="85">
        <v>44995</v>
      </c>
      <c r="AH478" s="82" t="s">
        <v>3229</v>
      </c>
      <c r="AI478" s="77" t="b">
        <v>0</v>
      </c>
      <c r="AJ478" s="77"/>
      <c r="AK478" s="77"/>
      <c r="AL478" s="77"/>
      <c r="AM478" s="77"/>
      <c r="AN478" s="77"/>
      <c r="AO478" s="77"/>
      <c r="AP478" s="77"/>
      <c r="AQ478" s="77"/>
      <c r="AR478" s="77"/>
      <c r="AS478" s="77"/>
      <c r="AT478" s="77"/>
      <c r="AU478" s="77"/>
      <c r="AV478" s="80" t="str">
        <f>HYPERLINK("https://pbs.twimg.com/profile_images/1627382812205543425/CBj0biKe_normal.jpg")</f>
        <v>https://pbs.twimg.com/profile_images/1627382812205543425/CBj0biKe_normal.jpg</v>
      </c>
      <c r="AW478" s="82" t="s">
        <v>4811</v>
      </c>
      <c r="AX478" s="82" t="s">
        <v>4811</v>
      </c>
      <c r="AY478" s="77"/>
      <c r="AZ478" s="82" t="s">
        <v>5615</v>
      </c>
      <c r="BA478" s="82" t="s">
        <v>5615</v>
      </c>
      <c r="BB478" s="82" t="s">
        <v>5615</v>
      </c>
      <c r="BC478" s="82" t="s">
        <v>4811</v>
      </c>
      <c r="BD478" s="77">
        <v>299907538</v>
      </c>
      <c r="BE478" s="77"/>
      <c r="BF478" s="77"/>
      <c r="BG478" s="77"/>
      <c r="BH478" s="77"/>
      <c r="BI478" s="77"/>
    </row>
    <row r="479" spans="1:61" x14ac:dyDescent="0.25">
      <c r="A479" s="62" t="s">
        <v>432</v>
      </c>
      <c r="B479" s="62" t="s">
        <v>432</v>
      </c>
      <c r="C479" s="63"/>
      <c r="D479" s="64"/>
      <c r="E479" s="65"/>
      <c r="F479" s="66"/>
      <c r="G479" s="63"/>
      <c r="H479" s="67"/>
      <c r="I479" s="68"/>
      <c r="J479" s="68"/>
      <c r="K479" s="32"/>
      <c r="L479" s="75">
        <v>479</v>
      </c>
      <c r="M479" s="75"/>
      <c r="N479" s="70"/>
      <c r="O479" s="77" t="s">
        <v>179</v>
      </c>
      <c r="P479" s="79">
        <v>44995.752291666664</v>
      </c>
      <c r="Q479" s="77" t="s">
        <v>1060</v>
      </c>
      <c r="R479" s="77">
        <v>0</v>
      </c>
      <c r="S479" s="77">
        <v>0</v>
      </c>
      <c r="T479" s="77">
        <v>0</v>
      </c>
      <c r="U479" s="77">
        <v>0</v>
      </c>
      <c r="V479" s="77">
        <v>3</v>
      </c>
      <c r="W479" s="82" t="s">
        <v>1563</v>
      </c>
      <c r="X479" s="80" t="str">
        <f>HYPERLINK("https://www.instagram.com/reel/CpnfxEDJ2gA/?igshid=MDJmNzVkMjY=")</f>
        <v>https://www.instagram.com/reel/CpnfxEDJ2gA/?igshid=MDJmNzVkMjY=</v>
      </c>
      <c r="Y479" s="77" t="s">
        <v>2130</v>
      </c>
      <c r="Z479" s="77"/>
      <c r="AA479" s="77"/>
      <c r="AB479" s="77"/>
      <c r="AC479" s="82" t="s">
        <v>2720</v>
      </c>
      <c r="AD479" s="77" t="s">
        <v>2752</v>
      </c>
      <c r="AE479" s="80" t="str">
        <f>HYPERLINK("https://twitter.com/maycomprei/status/1634253610472054788")</f>
        <v>https://twitter.com/maycomprei/status/1634253610472054788</v>
      </c>
      <c r="AF479" s="79">
        <v>44995.752291666664</v>
      </c>
      <c r="AG479" s="85">
        <v>44995</v>
      </c>
      <c r="AH479" s="82" t="s">
        <v>3230</v>
      </c>
      <c r="AI479" s="77" t="b">
        <v>0</v>
      </c>
      <c r="AJ479" s="77"/>
      <c r="AK479" s="77"/>
      <c r="AL479" s="77"/>
      <c r="AM479" s="77"/>
      <c r="AN479" s="77"/>
      <c r="AO479" s="77"/>
      <c r="AP479" s="77"/>
      <c r="AQ479" s="77"/>
      <c r="AR479" s="77"/>
      <c r="AS479" s="77"/>
      <c r="AT479" s="77"/>
      <c r="AU479" s="77"/>
      <c r="AV479" s="80" t="str">
        <f>HYPERLINK("https://pbs.twimg.com/profile_images/1627382812205543425/CBj0biKe_normal.jpg")</f>
        <v>https://pbs.twimg.com/profile_images/1627382812205543425/CBj0biKe_normal.jpg</v>
      </c>
      <c r="AW479" s="82" t="s">
        <v>4812</v>
      </c>
      <c r="AX479" s="82" t="s">
        <v>4812</v>
      </c>
      <c r="AY479" s="77"/>
      <c r="AZ479" s="82" t="s">
        <v>5615</v>
      </c>
      <c r="BA479" s="82" t="s">
        <v>5615</v>
      </c>
      <c r="BB479" s="82" t="s">
        <v>5615</v>
      </c>
      <c r="BC479" s="82" t="s">
        <v>4812</v>
      </c>
      <c r="BD479" s="77">
        <v>299907538</v>
      </c>
      <c r="BE479" s="77"/>
      <c r="BF479" s="77"/>
      <c r="BG479" s="77"/>
      <c r="BH479" s="77"/>
      <c r="BI479" s="77"/>
    </row>
    <row r="480" spans="1:61" x14ac:dyDescent="0.25">
      <c r="A480" s="62" t="s">
        <v>433</v>
      </c>
      <c r="B480" s="62" t="s">
        <v>433</v>
      </c>
      <c r="C480" s="63"/>
      <c r="D480" s="64"/>
      <c r="E480" s="65"/>
      <c r="F480" s="66"/>
      <c r="G480" s="63"/>
      <c r="H480" s="67"/>
      <c r="I480" s="68"/>
      <c r="J480" s="68"/>
      <c r="K480" s="32"/>
      <c r="L480" s="75">
        <v>480</v>
      </c>
      <c r="M480" s="75"/>
      <c r="N480" s="70"/>
      <c r="O480" s="77" t="s">
        <v>179</v>
      </c>
      <c r="P480" s="79">
        <v>44949.795011574075</v>
      </c>
      <c r="Q480" s="77" t="s">
        <v>1061</v>
      </c>
      <c r="R480" s="77">
        <v>0</v>
      </c>
      <c r="S480" s="77">
        <v>0</v>
      </c>
      <c r="T480" s="77">
        <v>0</v>
      </c>
      <c r="U480" s="77">
        <v>0</v>
      </c>
      <c r="V480" s="77">
        <v>25</v>
      </c>
      <c r="W480" s="82" t="s">
        <v>1874</v>
      </c>
      <c r="X480" s="77"/>
      <c r="Y480" s="77"/>
      <c r="Z480" s="77"/>
      <c r="AA480" s="77"/>
      <c r="AB480" s="77"/>
      <c r="AC480" s="82" t="s">
        <v>2739</v>
      </c>
      <c r="AD480" s="77" t="s">
        <v>2752</v>
      </c>
      <c r="AE480" s="80" t="str">
        <f>HYPERLINK("https://twitter.com/explibertario/status/1617599249260085279")</f>
        <v>https://twitter.com/explibertario/status/1617599249260085279</v>
      </c>
      <c r="AF480" s="79">
        <v>44949.795011574075</v>
      </c>
      <c r="AG480" s="85">
        <v>44949</v>
      </c>
      <c r="AH480" s="82" t="s">
        <v>3231</v>
      </c>
      <c r="AI480" s="77"/>
      <c r="AJ480" s="77"/>
      <c r="AK480" s="77"/>
      <c r="AL480" s="77"/>
      <c r="AM480" s="77"/>
      <c r="AN480" s="77"/>
      <c r="AO480" s="77"/>
      <c r="AP480" s="77"/>
      <c r="AQ480" s="77"/>
      <c r="AR480" s="77"/>
      <c r="AS480" s="77"/>
      <c r="AT480" s="77"/>
      <c r="AU480" s="77"/>
      <c r="AV480" s="80" t="str">
        <f>HYPERLINK("https://pbs.twimg.com/profile_images/1617627128605949954/-kKKlOMk_normal.jpg")</f>
        <v>https://pbs.twimg.com/profile_images/1617627128605949954/-kKKlOMk_normal.jpg</v>
      </c>
      <c r="AW480" s="82" t="s">
        <v>4813</v>
      </c>
      <c r="AX480" s="82" t="s">
        <v>4813</v>
      </c>
      <c r="AY480" s="77"/>
      <c r="AZ480" s="82" t="s">
        <v>5615</v>
      </c>
      <c r="BA480" s="82" t="s">
        <v>5615</v>
      </c>
      <c r="BB480" s="82" t="s">
        <v>5615</v>
      </c>
      <c r="BC480" s="82" t="s">
        <v>4813</v>
      </c>
      <c r="BD480" s="82" t="s">
        <v>6005</v>
      </c>
      <c r="BE480" s="77"/>
      <c r="BF480" s="77"/>
      <c r="BG480" s="77"/>
      <c r="BH480" s="77"/>
      <c r="BI480" s="77"/>
    </row>
    <row r="481" spans="1:61" x14ac:dyDescent="0.25">
      <c r="A481" s="62" t="s">
        <v>434</v>
      </c>
      <c r="B481" s="62" t="s">
        <v>434</v>
      </c>
      <c r="C481" s="63"/>
      <c r="D481" s="64"/>
      <c r="E481" s="65"/>
      <c r="F481" s="66"/>
      <c r="G481" s="63"/>
      <c r="H481" s="67"/>
      <c r="I481" s="68"/>
      <c r="J481" s="68"/>
      <c r="K481" s="32"/>
      <c r="L481" s="75">
        <v>481</v>
      </c>
      <c r="M481" s="75"/>
      <c r="N481" s="70"/>
      <c r="O481" s="77" t="s">
        <v>179</v>
      </c>
      <c r="P481" s="79">
        <v>44929.735532407409</v>
      </c>
      <c r="Q481" s="77" t="s">
        <v>1062</v>
      </c>
      <c r="R481" s="77">
        <v>0</v>
      </c>
      <c r="S481" s="77">
        <v>0</v>
      </c>
      <c r="T481" s="77">
        <v>0</v>
      </c>
      <c r="U481" s="77">
        <v>0</v>
      </c>
      <c r="V481" s="77">
        <v>17</v>
      </c>
      <c r="W481" s="82" t="s">
        <v>1875</v>
      </c>
      <c r="X481" s="77"/>
      <c r="Y481" s="77"/>
      <c r="Z481" s="77"/>
      <c r="AA481" s="77"/>
      <c r="AB481" s="77"/>
      <c r="AC481" s="82" t="s">
        <v>2722</v>
      </c>
      <c r="AD481" s="77" t="s">
        <v>2752</v>
      </c>
      <c r="AE481" s="80" t="str">
        <f>HYPERLINK("https://twitter.com/investfrugal/status/1610329938082816000")</f>
        <v>https://twitter.com/investfrugal/status/1610329938082816000</v>
      </c>
      <c r="AF481" s="79">
        <v>44929.735532407409</v>
      </c>
      <c r="AG481" s="85">
        <v>44929</v>
      </c>
      <c r="AH481" s="82" t="s">
        <v>3232</v>
      </c>
      <c r="AI481" s="77"/>
      <c r="AJ481" s="77"/>
      <c r="AK481" s="77"/>
      <c r="AL481" s="77"/>
      <c r="AM481" s="77"/>
      <c r="AN481" s="77"/>
      <c r="AO481" s="77"/>
      <c r="AP481" s="77"/>
      <c r="AQ481" s="77"/>
      <c r="AR481" s="77"/>
      <c r="AS481" s="77"/>
      <c r="AT481" s="77"/>
      <c r="AU481" s="77"/>
      <c r="AV481" s="80" t="str">
        <f>HYPERLINK("https://pbs.twimg.com/profile_images/1417120451755663368/-SfZzyXw_normal.png")</f>
        <v>https://pbs.twimg.com/profile_images/1417120451755663368/-SfZzyXw_normal.png</v>
      </c>
      <c r="AW481" s="82" t="s">
        <v>4814</v>
      </c>
      <c r="AX481" s="82" t="s">
        <v>4814</v>
      </c>
      <c r="AY481" s="77"/>
      <c r="AZ481" s="82" t="s">
        <v>5615</v>
      </c>
      <c r="BA481" s="82" t="s">
        <v>5615</v>
      </c>
      <c r="BB481" s="82" t="s">
        <v>5615</v>
      </c>
      <c r="BC481" s="82" t="s">
        <v>4814</v>
      </c>
      <c r="BD481" s="82" t="s">
        <v>6006</v>
      </c>
      <c r="BE481" s="77"/>
      <c r="BF481" s="77"/>
      <c r="BG481" s="77"/>
      <c r="BH481" s="77"/>
      <c r="BI481" s="77"/>
    </row>
    <row r="482" spans="1:61" x14ac:dyDescent="0.25">
      <c r="A482" s="62" t="s">
        <v>435</v>
      </c>
      <c r="B482" s="62" t="s">
        <v>435</v>
      </c>
      <c r="C482" s="63"/>
      <c r="D482" s="64"/>
      <c r="E482" s="65"/>
      <c r="F482" s="66"/>
      <c r="G482" s="63"/>
      <c r="H482" s="67"/>
      <c r="I482" s="68"/>
      <c r="J482" s="68"/>
      <c r="K482" s="32"/>
      <c r="L482" s="75">
        <v>482</v>
      </c>
      <c r="M482" s="75"/>
      <c r="N482" s="70"/>
      <c r="O482" s="77" t="s">
        <v>179</v>
      </c>
      <c r="P482" s="79">
        <v>45056.802314814813</v>
      </c>
      <c r="Q482" s="77" t="s">
        <v>1063</v>
      </c>
      <c r="R482" s="77">
        <v>0</v>
      </c>
      <c r="S482" s="77">
        <v>0</v>
      </c>
      <c r="T482" s="77">
        <v>0</v>
      </c>
      <c r="U482" s="77">
        <v>0</v>
      </c>
      <c r="V482" s="77">
        <v>14</v>
      </c>
      <c r="W482" s="82" t="s">
        <v>1876</v>
      </c>
      <c r="X482" s="77"/>
      <c r="Y482" s="77"/>
      <c r="Z482" s="77"/>
      <c r="AA482" s="77" t="s">
        <v>2510</v>
      </c>
      <c r="AB482" s="77" t="s">
        <v>2714</v>
      </c>
      <c r="AC482" s="82" t="s">
        <v>2721</v>
      </c>
      <c r="AD482" s="77" t="s">
        <v>2752</v>
      </c>
      <c r="AE482" s="80" t="str">
        <f>HYPERLINK("https://twitter.com/atlanticbank_/status/1656377398525325313")</f>
        <v>https://twitter.com/atlanticbank_/status/1656377398525325313</v>
      </c>
      <c r="AF482" s="79">
        <v>45056.802314814813</v>
      </c>
      <c r="AG482" s="85">
        <v>45056</v>
      </c>
      <c r="AH482" s="82" t="s">
        <v>3233</v>
      </c>
      <c r="AI482" s="77" t="b">
        <v>0</v>
      </c>
      <c r="AJ482" s="77"/>
      <c r="AK482" s="77"/>
      <c r="AL482" s="77"/>
      <c r="AM482" s="77"/>
      <c r="AN482" s="77"/>
      <c r="AO482" s="77"/>
      <c r="AP482" s="77"/>
      <c r="AQ482" s="77" t="s">
        <v>4136</v>
      </c>
      <c r="AR482" s="77"/>
      <c r="AS482" s="77"/>
      <c r="AT482" s="77"/>
      <c r="AU482" s="77"/>
      <c r="AV482" s="80" t="str">
        <f>HYPERLINK("https://pbs.twimg.com/media/Fvyid0fWIAAKI9v.jpg")</f>
        <v>https://pbs.twimg.com/media/Fvyid0fWIAAKI9v.jpg</v>
      </c>
      <c r="AW482" s="82" t="s">
        <v>4815</v>
      </c>
      <c r="AX482" s="82" t="s">
        <v>4815</v>
      </c>
      <c r="AY482" s="77"/>
      <c r="AZ482" s="82" t="s">
        <v>5615</v>
      </c>
      <c r="BA482" s="82" t="s">
        <v>5615</v>
      </c>
      <c r="BB482" s="82" t="s">
        <v>5615</v>
      </c>
      <c r="BC482" s="82" t="s">
        <v>4815</v>
      </c>
      <c r="BD482" s="82" t="s">
        <v>6007</v>
      </c>
      <c r="BE482" s="77"/>
      <c r="BF482" s="77"/>
      <c r="BG482" s="77"/>
      <c r="BH482" s="77"/>
      <c r="BI482" s="77"/>
    </row>
    <row r="483" spans="1:61" x14ac:dyDescent="0.25">
      <c r="A483" s="62" t="s">
        <v>436</v>
      </c>
      <c r="B483" s="62" t="s">
        <v>436</v>
      </c>
      <c r="C483" s="63"/>
      <c r="D483" s="64"/>
      <c r="E483" s="65"/>
      <c r="F483" s="66"/>
      <c r="G483" s="63"/>
      <c r="H483" s="67"/>
      <c r="I483" s="68"/>
      <c r="J483" s="68"/>
      <c r="K483" s="32"/>
      <c r="L483" s="75">
        <v>483</v>
      </c>
      <c r="M483" s="75"/>
      <c r="N483" s="70"/>
      <c r="O483" s="77" t="s">
        <v>179</v>
      </c>
      <c r="P483" s="79">
        <v>44932.027650462966</v>
      </c>
      <c r="Q483" s="77" t="s">
        <v>1064</v>
      </c>
      <c r="R483" s="77">
        <v>0</v>
      </c>
      <c r="S483" s="77">
        <v>0</v>
      </c>
      <c r="T483" s="77">
        <v>0</v>
      </c>
      <c r="U483" s="77">
        <v>0</v>
      </c>
      <c r="V483" s="77">
        <v>9</v>
      </c>
      <c r="W483" s="82" t="s">
        <v>1877</v>
      </c>
      <c r="X483" s="77"/>
      <c r="Y483" s="77"/>
      <c r="Z483" s="77"/>
      <c r="AA483" s="77"/>
      <c r="AB483" s="77"/>
      <c r="AC483" s="82" t="s">
        <v>2719</v>
      </c>
      <c r="AD483" s="77" t="s">
        <v>2752</v>
      </c>
      <c r="AE483" s="80" t="str">
        <f>HYPERLINK("https://twitter.com/crisspellegrin/status/1611160573839921153")</f>
        <v>https://twitter.com/crisspellegrin/status/1611160573839921153</v>
      </c>
      <c r="AF483" s="79">
        <v>44932.027650462966</v>
      </c>
      <c r="AG483" s="85">
        <v>44932</v>
      </c>
      <c r="AH483" s="82" t="s">
        <v>3234</v>
      </c>
      <c r="AI483" s="77"/>
      <c r="AJ483" s="77"/>
      <c r="AK483" s="77"/>
      <c r="AL483" s="77"/>
      <c r="AM483" s="77"/>
      <c r="AN483" s="77"/>
      <c r="AO483" s="77"/>
      <c r="AP483" s="77"/>
      <c r="AQ483" s="77"/>
      <c r="AR483" s="77"/>
      <c r="AS483" s="77"/>
      <c r="AT483" s="77"/>
      <c r="AU483" s="77"/>
      <c r="AV483" s="80" t="str">
        <f>HYPERLINK("https://pbs.twimg.com/profile_images/1609926380820611073/RYeEIV8V_normal.jpg")</f>
        <v>https://pbs.twimg.com/profile_images/1609926380820611073/RYeEIV8V_normal.jpg</v>
      </c>
      <c r="AW483" s="82" t="s">
        <v>4816</v>
      </c>
      <c r="AX483" s="82" t="s">
        <v>4816</v>
      </c>
      <c r="AY483" s="77"/>
      <c r="AZ483" s="82" t="s">
        <v>5615</v>
      </c>
      <c r="BA483" s="82" t="s">
        <v>5615</v>
      </c>
      <c r="BB483" s="82" t="s">
        <v>5615</v>
      </c>
      <c r="BC483" s="82" t="s">
        <v>4816</v>
      </c>
      <c r="BD483" s="82" t="s">
        <v>6008</v>
      </c>
      <c r="BE483" s="77"/>
      <c r="BF483" s="77"/>
      <c r="BG483" s="77"/>
      <c r="BH483" s="77"/>
      <c r="BI483" s="77"/>
    </row>
    <row r="484" spans="1:61" x14ac:dyDescent="0.25">
      <c r="A484" s="62" t="s">
        <v>437</v>
      </c>
      <c r="B484" s="62" t="s">
        <v>437</v>
      </c>
      <c r="C484" s="63"/>
      <c r="D484" s="64"/>
      <c r="E484" s="65"/>
      <c r="F484" s="66"/>
      <c r="G484" s="63"/>
      <c r="H484" s="67"/>
      <c r="I484" s="68"/>
      <c r="J484" s="68"/>
      <c r="K484" s="32"/>
      <c r="L484" s="75">
        <v>484</v>
      </c>
      <c r="M484" s="75"/>
      <c r="N484" s="70"/>
      <c r="O484" s="77" t="s">
        <v>179</v>
      </c>
      <c r="P484" s="79">
        <v>45082.792326388888</v>
      </c>
      <c r="Q484" s="77" t="s">
        <v>1065</v>
      </c>
      <c r="R484" s="77">
        <v>0</v>
      </c>
      <c r="S484" s="77">
        <v>0</v>
      </c>
      <c r="T484" s="77">
        <v>0</v>
      </c>
      <c r="U484" s="77">
        <v>0</v>
      </c>
      <c r="V484" s="77">
        <v>91</v>
      </c>
      <c r="W484" s="82" t="s">
        <v>1878</v>
      </c>
      <c r="X484" s="77"/>
      <c r="Y484" s="77"/>
      <c r="Z484" s="77"/>
      <c r="AA484" s="77"/>
      <c r="AB484" s="77"/>
      <c r="AC484" s="82" t="s">
        <v>2721</v>
      </c>
      <c r="AD484" s="77" t="s">
        <v>2752</v>
      </c>
      <c r="AE484" s="80" t="str">
        <f>HYPERLINK("https://twitter.com/neoinconstrucao/status/1665795863350837251")</f>
        <v>https://twitter.com/neoinconstrucao/status/1665795863350837251</v>
      </c>
      <c r="AF484" s="79">
        <v>45082.792326388888</v>
      </c>
      <c r="AG484" s="85">
        <v>45082</v>
      </c>
      <c r="AH484" s="82" t="s">
        <v>3002</v>
      </c>
      <c r="AI484" s="77"/>
      <c r="AJ484" s="77"/>
      <c r="AK484" s="77"/>
      <c r="AL484" s="77"/>
      <c r="AM484" s="77"/>
      <c r="AN484" s="77"/>
      <c r="AO484" s="77"/>
      <c r="AP484" s="77"/>
      <c r="AQ484" s="77"/>
      <c r="AR484" s="77"/>
      <c r="AS484" s="77"/>
      <c r="AT484" s="77"/>
      <c r="AU484" s="77"/>
      <c r="AV484" s="80" t="str">
        <f>HYPERLINK("https://pbs.twimg.com/profile_images/1570050111039733760/xNaX4HVD_normal.jpg")</f>
        <v>https://pbs.twimg.com/profile_images/1570050111039733760/xNaX4HVD_normal.jpg</v>
      </c>
      <c r="AW484" s="82" t="s">
        <v>4817</v>
      </c>
      <c r="AX484" s="82" t="s">
        <v>4817</v>
      </c>
      <c r="AY484" s="77"/>
      <c r="AZ484" s="82" t="s">
        <v>5615</v>
      </c>
      <c r="BA484" s="82" t="s">
        <v>5615</v>
      </c>
      <c r="BB484" s="82" t="s">
        <v>5615</v>
      </c>
      <c r="BC484" s="82" t="s">
        <v>4817</v>
      </c>
      <c r="BD484" s="82" t="s">
        <v>6009</v>
      </c>
      <c r="BE484" s="77"/>
      <c r="BF484" s="77"/>
      <c r="BG484" s="77"/>
      <c r="BH484" s="77"/>
      <c r="BI484" s="77"/>
    </row>
    <row r="485" spans="1:61" x14ac:dyDescent="0.25">
      <c r="A485" s="62" t="s">
        <v>438</v>
      </c>
      <c r="B485" s="62" t="s">
        <v>438</v>
      </c>
      <c r="C485" s="63"/>
      <c r="D485" s="64"/>
      <c r="E485" s="65"/>
      <c r="F485" s="66"/>
      <c r="G485" s="63"/>
      <c r="H485" s="67"/>
      <c r="I485" s="68"/>
      <c r="J485" s="68"/>
      <c r="K485" s="32"/>
      <c r="L485" s="75">
        <v>485</v>
      </c>
      <c r="M485" s="75"/>
      <c r="N485" s="70"/>
      <c r="O485" s="77" t="s">
        <v>179</v>
      </c>
      <c r="P485" s="79">
        <v>45091.500254629631</v>
      </c>
      <c r="Q485" s="77" t="s">
        <v>1066</v>
      </c>
      <c r="R485" s="77">
        <v>0</v>
      </c>
      <c r="S485" s="77">
        <v>0</v>
      </c>
      <c r="T485" s="77">
        <v>0</v>
      </c>
      <c r="U485" s="77">
        <v>0</v>
      </c>
      <c r="V485" s="77">
        <v>20</v>
      </c>
      <c r="W485" s="82" t="s">
        <v>1879</v>
      </c>
      <c r="X485" s="77"/>
      <c r="Y485" s="77"/>
      <c r="Z485" s="77"/>
      <c r="AA485" s="77" t="s">
        <v>2511</v>
      </c>
      <c r="AB485" s="77" t="s">
        <v>2713</v>
      </c>
      <c r="AC485" s="82" t="s">
        <v>2740</v>
      </c>
      <c r="AD485" s="77" t="s">
        <v>2752</v>
      </c>
      <c r="AE485" s="80" t="str">
        <f>HYPERLINK("https://twitter.com/evovee_/status/1668951510779064322")</f>
        <v>https://twitter.com/evovee_/status/1668951510779064322</v>
      </c>
      <c r="AF485" s="79">
        <v>45091.500254629631</v>
      </c>
      <c r="AG485" s="85">
        <v>45091</v>
      </c>
      <c r="AH485" s="82" t="s">
        <v>3235</v>
      </c>
      <c r="AI485" s="77" t="b">
        <v>0</v>
      </c>
      <c r="AJ485" s="77"/>
      <c r="AK485" s="77"/>
      <c r="AL485" s="77"/>
      <c r="AM485" s="77"/>
      <c r="AN485" s="77"/>
      <c r="AO485" s="77"/>
      <c r="AP485" s="77"/>
      <c r="AQ485" s="77" t="s">
        <v>4137</v>
      </c>
      <c r="AR485" s="77">
        <v>29533</v>
      </c>
      <c r="AS485" s="77"/>
      <c r="AT485" s="77"/>
      <c r="AU485" s="77"/>
      <c r="AV485" s="80" t="str">
        <f>HYPERLINK("https://pbs.twimg.com/ext_tw_video_thumb/1668951450976768000/pu/img/c3zv41cDxIFBD5st.jpg")</f>
        <v>https://pbs.twimg.com/ext_tw_video_thumb/1668951450976768000/pu/img/c3zv41cDxIFBD5st.jpg</v>
      </c>
      <c r="AW485" s="82" t="s">
        <v>4818</v>
      </c>
      <c r="AX485" s="82" t="s">
        <v>4818</v>
      </c>
      <c r="AY485" s="77"/>
      <c r="AZ485" s="82" t="s">
        <v>5615</v>
      </c>
      <c r="BA485" s="82" t="s">
        <v>5615</v>
      </c>
      <c r="BB485" s="82" t="s">
        <v>5615</v>
      </c>
      <c r="BC485" s="82" t="s">
        <v>4818</v>
      </c>
      <c r="BD485" s="82" t="s">
        <v>6010</v>
      </c>
      <c r="BE485" s="77"/>
      <c r="BF485" s="77"/>
      <c r="BG485" s="77"/>
      <c r="BH485" s="77"/>
      <c r="BI485" s="77"/>
    </row>
    <row r="486" spans="1:61" x14ac:dyDescent="0.25">
      <c r="A486" s="62" t="s">
        <v>439</v>
      </c>
      <c r="B486" s="62" t="s">
        <v>439</v>
      </c>
      <c r="C486" s="63"/>
      <c r="D486" s="64"/>
      <c r="E486" s="65"/>
      <c r="F486" s="66"/>
      <c r="G486" s="63"/>
      <c r="H486" s="67"/>
      <c r="I486" s="68"/>
      <c r="J486" s="68"/>
      <c r="K486" s="32"/>
      <c r="L486" s="75">
        <v>486</v>
      </c>
      <c r="M486" s="75"/>
      <c r="N486" s="70"/>
      <c r="O486" s="77" t="s">
        <v>179</v>
      </c>
      <c r="P486" s="79">
        <v>45059.491759259261</v>
      </c>
      <c r="Q486" s="77" t="s">
        <v>1067</v>
      </c>
      <c r="R486" s="77">
        <v>0</v>
      </c>
      <c r="S486" s="77">
        <v>0</v>
      </c>
      <c r="T486" s="77">
        <v>0</v>
      </c>
      <c r="U486" s="77">
        <v>0</v>
      </c>
      <c r="V486" s="77">
        <v>29</v>
      </c>
      <c r="W486" s="82" t="s">
        <v>1880</v>
      </c>
      <c r="X486" s="77"/>
      <c r="Y486" s="77"/>
      <c r="Z486" s="77"/>
      <c r="AA486" s="77" t="s">
        <v>2512</v>
      </c>
      <c r="AB486" s="77" t="s">
        <v>2713</v>
      </c>
      <c r="AC486" s="82" t="s">
        <v>2720</v>
      </c>
      <c r="AD486" s="77" t="s">
        <v>2751</v>
      </c>
      <c r="AE486" s="80" t="str">
        <f>HYPERLINK("https://twitter.com/rafaelamorimofc/status/1657352020905410561")</f>
        <v>https://twitter.com/rafaelamorimofc/status/1657352020905410561</v>
      </c>
      <c r="AF486" s="79">
        <v>45059.491759259261</v>
      </c>
      <c r="AG486" s="85">
        <v>45059</v>
      </c>
      <c r="AH486" s="82" t="s">
        <v>3236</v>
      </c>
      <c r="AI486" s="77" t="b">
        <v>0</v>
      </c>
      <c r="AJ486" s="77"/>
      <c r="AK486" s="77"/>
      <c r="AL486" s="77"/>
      <c r="AM486" s="77"/>
      <c r="AN486" s="77"/>
      <c r="AO486" s="77"/>
      <c r="AP486" s="77"/>
      <c r="AQ486" s="77" t="s">
        <v>4138</v>
      </c>
      <c r="AR486" s="77">
        <v>7585</v>
      </c>
      <c r="AS486" s="77"/>
      <c r="AT486" s="77"/>
      <c r="AU486" s="77"/>
      <c r="AV486" s="80" t="str">
        <f>HYPERLINK("https://pbs.twimg.com/ext_tw_video_thumb/1657351978853318657/pu/img/ZDCJvU894wfjE4qD.jpg")</f>
        <v>https://pbs.twimg.com/ext_tw_video_thumb/1657351978853318657/pu/img/ZDCJvU894wfjE4qD.jpg</v>
      </c>
      <c r="AW486" s="82" t="s">
        <v>4819</v>
      </c>
      <c r="AX486" s="82" t="s">
        <v>4819</v>
      </c>
      <c r="AY486" s="77"/>
      <c r="AZ486" s="82" t="s">
        <v>5615</v>
      </c>
      <c r="BA486" s="82" t="s">
        <v>5615</v>
      </c>
      <c r="BB486" s="82" t="s">
        <v>5615</v>
      </c>
      <c r="BC486" s="82" t="s">
        <v>4819</v>
      </c>
      <c r="BD486" s="82" t="s">
        <v>6011</v>
      </c>
      <c r="BE486" s="77"/>
      <c r="BF486" s="77"/>
      <c r="BG486" s="77"/>
      <c r="BH486" s="77"/>
      <c r="BI486" s="77"/>
    </row>
    <row r="487" spans="1:61" x14ac:dyDescent="0.25">
      <c r="A487" s="62" t="s">
        <v>439</v>
      </c>
      <c r="B487" s="62" t="s">
        <v>439</v>
      </c>
      <c r="C487" s="63"/>
      <c r="D487" s="64"/>
      <c r="E487" s="65"/>
      <c r="F487" s="66"/>
      <c r="G487" s="63"/>
      <c r="H487" s="67"/>
      <c r="I487" s="68"/>
      <c r="J487" s="68"/>
      <c r="K487" s="32"/>
      <c r="L487" s="75">
        <v>487</v>
      </c>
      <c r="M487" s="75"/>
      <c r="N487" s="70"/>
      <c r="O487" s="77" t="s">
        <v>179</v>
      </c>
      <c r="P487" s="79">
        <v>45138.634675925925</v>
      </c>
      <c r="Q487" s="77" t="s">
        <v>1068</v>
      </c>
      <c r="R487" s="77">
        <v>0</v>
      </c>
      <c r="S487" s="77">
        <v>0</v>
      </c>
      <c r="T487" s="77">
        <v>0</v>
      </c>
      <c r="U487" s="77">
        <v>0</v>
      </c>
      <c r="V487" s="77">
        <v>26</v>
      </c>
      <c r="W487" s="82" t="s">
        <v>1881</v>
      </c>
      <c r="X487" s="80" t="str">
        <f>HYPERLINK("https://linkr.bio/iniciar_")</f>
        <v>https://linkr.bio/iniciar_</v>
      </c>
      <c r="Y487" s="77" t="s">
        <v>2163</v>
      </c>
      <c r="Z487" s="77"/>
      <c r="AA487" s="77" t="s">
        <v>2513</v>
      </c>
      <c r="AB487" s="77" t="s">
        <v>2713</v>
      </c>
      <c r="AC487" s="82" t="s">
        <v>2720</v>
      </c>
      <c r="AD487" s="77" t="s">
        <v>2752</v>
      </c>
      <c r="AE487" s="80" t="str">
        <f>HYPERLINK("https://twitter.com/rafaelamorimofc/status/1686032455180894208")</f>
        <v>https://twitter.com/rafaelamorimofc/status/1686032455180894208</v>
      </c>
      <c r="AF487" s="79">
        <v>45138.634675925925</v>
      </c>
      <c r="AG487" s="85">
        <v>45138</v>
      </c>
      <c r="AH487" s="82" t="s">
        <v>3237</v>
      </c>
      <c r="AI487" s="77" t="b">
        <v>0</v>
      </c>
      <c r="AJ487" s="77"/>
      <c r="AK487" s="77"/>
      <c r="AL487" s="77"/>
      <c r="AM487" s="77"/>
      <c r="AN487" s="77"/>
      <c r="AO487" s="77"/>
      <c r="AP487" s="77"/>
      <c r="AQ487" s="77" t="s">
        <v>4139</v>
      </c>
      <c r="AR487" s="77">
        <v>14331</v>
      </c>
      <c r="AS487" s="77"/>
      <c r="AT487" s="77"/>
      <c r="AU487" s="77"/>
      <c r="AV487" s="80" t="str">
        <f>HYPERLINK("https://pbs.twimg.com/ext_tw_video_thumb/1686032409949573120/pu/img/axggnafqLb45j2_n.jpg")</f>
        <v>https://pbs.twimg.com/ext_tw_video_thumb/1686032409949573120/pu/img/axggnafqLb45j2_n.jpg</v>
      </c>
      <c r="AW487" s="82" t="s">
        <v>4820</v>
      </c>
      <c r="AX487" s="82" t="s">
        <v>4820</v>
      </c>
      <c r="AY487" s="77"/>
      <c r="AZ487" s="82" t="s">
        <v>5615</v>
      </c>
      <c r="BA487" s="82" t="s">
        <v>5615</v>
      </c>
      <c r="BB487" s="82" t="s">
        <v>5615</v>
      </c>
      <c r="BC487" s="82" t="s">
        <v>4820</v>
      </c>
      <c r="BD487" s="82" t="s">
        <v>6011</v>
      </c>
      <c r="BE487" s="77"/>
      <c r="BF487" s="77"/>
      <c r="BG487" s="77"/>
      <c r="BH487" s="77"/>
      <c r="BI487" s="77"/>
    </row>
    <row r="488" spans="1:61" x14ac:dyDescent="0.25">
      <c r="A488" s="62" t="s">
        <v>439</v>
      </c>
      <c r="B488" s="62" t="s">
        <v>439</v>
      </c>
      <c r="C488" s="63"/>
      <c r="D488" s="64"/>
      <c r="E488" s="65"/>
      <c r="F488" s="66"/>
      <c r="G488" s="63"/>
      <c r="H488" s="67"/>
      <c r="I488" s="68"/>
      <c r="J488" s="68"/>
      <c r="K488" s="32"/>
      <c r="L488" s="75">
        <v>488</v>
      </c>
      <c r="M488" s="75"/>
      <c r="N488" s="70"/>
      <c r="O488" s="77" t="s">
        <v>179</v>
      </c>
      <c r="P488" s="79">
        <v>45059.619525462964</v>
      </c>
      <c r="Q488" s="77" t="s">
        <v>1069</v>
      </c>
      <c r="R488" s="77">
        <v>0</v>
      </c>
      <c r="S488" s="77">
        <v>0</v>
      </c>
      <c r="T488" s="77">
        <v>0</v>
      </c>
      <c r="U488" s="77">
        <v>0</v>
      </c>
      <c r="V488" s="77">
        <v>84</v>
      </c>
      <c r="W488" s="82" t="s">
        <v>1882</v>
      </c>
      <c r="X488" s="77"/>
      <c r="Y488" s="77"/>
      <c r="Z488" s="77"/>
      <c r="AA488" s="77" t="s">
        <v>2514</v>
      </c>
      <c r="AB488" s="77" t="s">
        <v>2713</v>
      </c>
      <c r="AC488" s="82" t="s">
        <v>2720</v>
      </c>
      <c r="AD488" s="77" t="s">
        <v>2752</v>
      </c>
      <c r="AE488" s="80" t="str">
        <f>HYPERLINK("https://twitter.com/rafaelamorimofc/status/1657398321982447616")</f>
        <v>https://twitter.com/rafaelamorimofc/status/1657398321982447616</v>
      </c>
      <c r="AF488" s="79">
        <v>45059.619525462964</v>
      </c>
      <c r="AG488" s="85">
        <v>45059</v>
      </c>
      <c r="AH488" s="82" t="s">
        <v>3238</v>
      </c>
      <c r="AI488" s="77" t="b">
        <v>0</v>
      </c>
      <c r="AJ488" s="77"/>
      <c r="AK488" s="77"/>
      <c r="AL488" s="77"/>
      <c r="AM488" s="77"/>
      <c r="AN488" s="77"/>
      <c r="AO488" s="77"/>
      <c r="AP488" s="77"/>
      <c r="AQ488" s="77" t="s">
        <v>4140</v>
      </c>
      <c r="AR488" s="77">
        <v>7051</v>
      </c>
      <c r="AS488" s="77"/>
      <c r="AT488" s="77"/>
      <c r="AU488" s="77"/>
      <c r="AV488" s="80" t="str">
        <f>HYPERLINK("https://pbs.twimg.com/ext_tw_video_thumb/1657398285131186180/pu/img/Bw1TMlWK2_W1uYR0.jpg")</f>
        <v>https://pbs.twimg.com/ext_tw_video_thumb/1657398285131186180/pu/img/Bw1TMlWK2_W1uYR0.jpg</v>
      </c>
      <c r="AW488" s="82" t="s">
        <v>4821</v>
      </c>
      <c r="AX488" s="82" t="s">
        <v>4821</v>
      </c>
      <c r="AY488" s="77"/>
      <c r="AZ488" s="82" t="s">
        <v>5615</v>
      </c>
      <c r="BA488" s="82" t="s">
        <v>5615</v>
      </c>
      <c r="BB488" s="82" t="s">
        <v>5615</v>
      </c>
      <c r="BC488" s="82" t="s">
        <v>4821</v>
      </c>
      <c r="BD488" s="82" t="s">
        <v>6011</v>
      </c>
      <c r="BE488" s="77"/>
      <c r="BF488" s="77"/>
      <c r="BG488" s="77"/>
      <c r="BH488" s="77"/>
      <c r="BI488" s="77"/>
    </row>
    <row r="489" spans="1:61" x14ac:dyDescent="0.25">
      <c r="A489" s="62" t="s">
        <v>439</v>
      </c>
      <c r="B489" s="62" t="s">
        <v>439</v>
      </c>
      <c r="C489" s="63"/>
      <c r="D489" s="64"/>
      <c r="E489" s="65"/>
      <c r="F489" s="66"/>
      <c r="G489" s="63"/>
      <c r="H489" s="67"/>
      <c r="I489" s="68"/>
      <c r="J489" s="68"/>
      <c r="K489" s="32"/>
      <c r="L489" s="75">
        <v>489</v>
      </c>
      <c r="M489" s="75"/>
      <c r="N489" s="70"/>
      <c r="O489" s="77" t="s">
        <v>179</v>
      </c>
      <c r="P489" s="79">
        <v>45157.654085648152</v>
      </c>
      <c r="Q489" s="77" t="s">
        <v>1070</v>
      </c>
      <c r="R489" s="77">
        <v>0</v>
      </c>
      <c r="S489" s="77">
        <v>0</v>
      </c>
      <c r="T489" s="77">
        <v>0</v>
      </c>
      <c r="U489" s="77">
        <v>0</v>
      </c>
      <c r="V489" s="77">
        <v>12</v>
      </c>
      <c r="W489" s="82" t="s">
        <v>1883</v>
      </c>
      <c r="X489" s="80" t="str">
        <f>HYPERLINK("http://linkr.bio/iniciar_")</f>
        <v>http://linkr.bio/iniciar_</v>
      </c>
      <c r="Y489" s="77" t="s">
        <v>2163</v>
      </c>
      <c r="Z489" s="77"/>
      <c r="AA489" s="77" t="s">
        <v>2515</v>
      </c>
      <c r="AB489" s="77" t="s">
        <v>2713</v>
      </c>
      <c r="AC489" s="82" t="s">
        <v>2720</v>
      </c>
      <c r="AD489" s="77" t="s">
        <v>2752</v>
      </c>
      <c r="AE489" s="80" t="str">
        <f>HYPERLINK("https://twitter.com/rafaelamorimofc/status/1692924855228813546")</f>
        <v>https://twitter.com/rafaelamorimofc/status/1692924855228813546</v>
      </c>
      <c r="AF489" s="79">
        <v>45157.654085648152</v>
      </c>
      <c r="AG489" s="85">
        <v>45157</v>
      </c>
      <c r="AH489" s="82" t="s">
        <v>3239</v>
      </c>
      <c r="AI489" s="77" t="b">
        <v>0</v>
      </c>
      <c r="AJ489" s="77"/>
      <c r="AK489" s="77"/>
      <c r="AL489" s="77"/>
      <c r="AM489" s="77"/>
      <c r="AN489" s="77"/>
      <c r="AO489" s="77"/>
      <c r="AP489" s="77"/>
      <c r="AQ489" s="77" t="s">
        <v>4141</v>
      </c>
      <c r="AR489" s="77">
        <v>8750</v>
      </c>
      <c r="AS489" s="77"/>
      <c r="AT489" s="77"/>
      <c r="AU489" s="77"/>
      <c r="AV489" s="80" t="str">
        <f>HYPERLINK("https://pbs.twimg.com/ext_tw_video_thumb/1692924811335405568/pu/img/WlM0Dp69FLFSU25g.jpg")</f>
        <v>https://pbs.twimg.com/ext_tw_video_thumb/1692924811335405568/pu/img/WlM0Dp69FLFSU25g.jpg</v>
      </c>
      <c r="AW489" s="82" t="s">
        <v>4822</v>
      </c>
      <c r="AX489" s="82" t="s">
        <v>4822</v>
      </c>
      <c r="AY489" s="77"/>
      <c r="AZ489" s="82" t="s">
        <v>5615</v>
      </c>
      <c r="BA489" s="82" t="s">
        <v>5615</v>
      </c>
      <c r="BB489" s="82" t="s">
        <v>5615</v>
      </c>
      <c r="BC489" s="82" t="s">
        <v>4822</v>
      </c>
      <c r="BD489" s="82" t="s">
        <v>6011</v>
      </c>
      <c r="BE489" s="77"/>
      <c r="BF489" s="77"/>
      <c r="BG489" s="77"/>
      <c r="BH489" s="77"/>
      <c r="BI489" s="77"/>
    </row>
    <row r="490" spans="1:61" x14ac:dyDescent="0.25">
      <c r="A490" s="62" t="s">
        <v>439</v>
      </c>
      <c r="B490" s="62" t="s">
        <v>439</v>
      </c>
      <c r="C490" s="63"/>
      <c r="D490" s="64"/>
      <c r="E490" s="65"/>
      <c r="F490" s="66"/>
      <c r="G490" s="63"/>
      <c r="H490" s="67"/>
      <c r="I490" s="68"/>
      <c r="J490" s="68"/>
      <c r="K490" s="32"/>
      <c r="L490" s="75">
        <v>490</v>
      </c>
      <c r="M490" s="75"/>
      <c r="N490" s="70"/>
      <c r="O490" s="77" t="s">
        <v>179</v>
      </c>
      <c r="P490" s="79">
        <v>45156.920243055552</v>
      </c>
      <c r="Q490" s="77" t="s">
        <v>1071</v>
      </c>
      <c r="R490" s="77">
        <v>0</v>
      </c>
      <c r="S490" s="77">
        <v>0</v>
      </c>
      <c r="T490" s="77">
        <v>0</v>
      </c>
      <c r="U490" s="77">
        <v>0</v>
      </c>
      <c r="V490" s="77">
        <v>16</v>
      </c>
      <c r="W490" s="82" t="s">
        <v>1883</v>
      </c>
      <c r="X490" s="80" t="str">
        <f>HYPERLINK("http://linkr.bio/iniciar_")</f>
        <v>http://linkr.bio/iniciar_</v>
      </c>
      <c r="Y490" s="77" t="s">
        <v>2163</v>
      </c>
      <c r="Z490" s="77"/>
      <c r="AA490" s="77" t="s">
        <v>2516</v>
      </c>
      <c r="AB490" s="77" t="s">
        <v>2713</v>
      </c>
      <c r="AC490" s="82" t="s">
        <v>2720</v>
      </c>
      <c r="AD490" s="77" t="s">
        <v>2752</v>
      </c>
      <c r="AE490" s="80" t="str">
        <f>HYPERLINK("https://twitter.com/rafaelamorimofc/status/1692658918961422762")</f>
        <v>https://twitter.com/rafaelamorimofc/status/1692658918961422762</v>
      </c>
      <c r="AF490" s="79">
        <v>45156.920243055552</v>
      </c>
      <c r="AG490" s="85">
        <v>45156</v>
      </c>
      <c r="AH490" s="82" t="s">
        <v>3240</v>
      </c>
      <c r="AI490" s="77" t="b">
        <v>0</v>
      </c>
      <c r="AJ490" s="77"/>
      <c r="AK490" s="77"/>
      <c r="AL490" s="77"/>
      <c r="AM490" s="77"/>
      <c r="AN490" s="77"/>
      <c r="AO490" s="77"/>
      <c r="AP490" s="77"/>
      <c r="AQ490" s="77" t="s">
        <v>4142</v>
      </c>
      <c r="AR490" s="77">
        <v>11950</v>
      </c>
      <c r="AS490" s="77"/>
      <c r="AT490" s="77"/>
      <c r="AU490" s="77"/>
      <c r="AV490" s="80" t="str">
        <f>HYPERLINK("https://pbs.twimg.com/ext_tw_video_thumb/1692658803378929664/pu/img/aqI8LW-M51teEZMe.jpg")</f>
        <v>https://pbs.twimg.com/ext_tw_video_thumb/1692658803378929664/pu/img/aqI8LW-M51teEZMe.jpg</v>
      </c>
      <c r="AW490" s="82" t="s">
        <v>4823</v>
      </c>
      <c r="AX490" s="82" t="s">
        <v>4823</v>
      </c>
      <c r="AY490" s="77"/>
      <c r="AZ490" s="82" t="s">
        <v>5615</v>
      </c>
      <c r="BA490" s="82" t="s">
        <v>5615</v>
      </c>
      <c r="BB490" s="82" t="s">
        <v>5615</v>
      </c>
      <c r="BC490" s="82" t="s">
        <v>4823</v>
      </c>
      <c r="BD490" s="82" t="s">
        <v>6011</v>
      </c>
      <c r="BE490" s="77"/>
      <c r="BF490" s="77"/>
      <c r="BG490" s="77"/>
      <c r="BH490" s="77"/>
      <c r="BI490" s="77"/>
    </row>
    <row r="491" spans="1:61" x14ac:dyDescent="0.25">
      <c r="A491" s="62" t="s">
        <v>439</v>
      </c>
      <c r="B491" s="62" t="s">
        <v>439</v>
      </c>
      <c r="C491" s="63"/>
      <c r="D491" s="64"/>
      <c r="E491" s="65"/>
      <c r="F491" s="66"/>
      <c r="G491" s="63"/>
      <c r="H491" s="67"/>
      <c r="I491" s="68"/>
      <c r="J491" s="68"/>
      <c r="K491" s="32"/>
      <c r="L491" s="75">
        <v>491</v>
      </c>
      <c r="M491" s="75"/>
      <c r="N491" s="70"/>
      <c r="O491" s="77" t="s">
        <v>179</v>
      </c>
      <c r="P491" s="79">
        <v>45156.496354166666</v>
      </c>
      <c r="Q491" s="77" t="s">
        <v>1072</v>
      </c>
      <c r="R491" s="77">
        <v>0</v>
      </c>
      <c r="S491" s="77">
        <v>0</v>
      </c>
      <c r="T491" s="77">
        <v>0</v>
      </c>
      <c r="U491" s="77">
        <v>0</v>
      </c>
      <c r="V491" s="77">
        <v>13</v>
      </c>
      <c r="W491" s="82" t="s">
        <v>1883</v>
      </c>
      <c r="X491" s="80" t="str">
        <f>HYPERLINK("http://linkr.bio/iniciar_")</f>
        <v>http://linkr.bio/iniciar_</v>
      </c>
      <c r="Y491" s="77" t="s">
        <v>2163</v>
      </c>
      <c r="Z491" s="77"/>
      <c r="AA491" s="77" t="s">
        <v>2517</v>
      </c>
      <c r="AB491" s="77" t="s">
        <v>2713</v>
      </c>
      <c r="AC491" s="82" t="s">
        <v>2720</v>
      </c>
      <c r="AD491" s="77" t="s">
        <v>2752</v>
      </c>
      <c r="AE491" s="80" t="str">
        <f>HYPERLINK("https://twitter.com/rafaelamorimofc/status/1692505307019145647")</f>
        <v>https://twitter.com/rafaelamorimofc/status/1692505307019145647</v>
      </c>
      <c r="AF491" s="79">
        <v>45156.496354166666</v>
      </c>
      <c r="AG491" s="85">
        <v>45156</v>
      </c>
      <c r="AH491" s="82" t="s">
        <v>3241</v>
      </c>
      <c r="AI491" s="77" t="b">
        <v>0</v>
      </c>
      <c r="AJ491" s="77"/>
      <c r="AK491" s="77"/>
      <c r="AL491" s="77"/>
      <c r="AM491" s="77"/>
      <c r="AN491" s="77"/>
      <c r="AO491" s="77"/>
      <c r="AP491" s="77"/>
      <c r="AQ491" s="77" t="s">
        <v>4143</v>
      </c>
      <c r="AR491" s="77">
        <v>6033</v>
      </c>
      <c r="AS491" s="77"/>
      <c r="AT491" s="77"/>
      <c r="AU491" s="77"/>
      <c r="AV491" s="80" t="str">
        <f>HYPERLINK("https://pbs.twimg.com/ext_tw_video_thumb/1692505265344565248/pu/img/8dbE4dxJZkYkpLyb.jpg")</f>
        <v>https://pbs.twimg.com/ext_tw_video_thumb/1692505265344565248/pu/img/8dbE4dxJZkYkpLyb.jpg</v>
      </c>
      <c r="AW491" s="82" t="s">
        <v>4824</v>
      </c>
      <c r="AX491" s="82" t="s">
        <v>4824</v>
      </c>
      <c r="AY491" s="77"/>
      <c r="AZ491" s="82" t="s">
        <v>5615</v>
      </c>
      <c r="BA491" s="82" t="s">
        <v>5615</v>
      </c>
      <c r="BB491" s="82" t="s">
        <v>5615</v>
      </c>
      <c r="BC491" s="82" t="s">
        <v>4824</v>
      </c>
      <c r="BD491" s="82" t="s">
        <v>6011</v>
      </c>
      <c r="BE491" s="77"/>
      <c r="BF491" s="77"/>
      <c r="BG491" s="77"/>
      <c r="BH491" s="77"/>
      <c r="BI491" s="77"/>
    </row>
    <row r="492" spans="1:61" x14ac:dyDescent="0.25">
      <c r="A492" s="62" t="s">
        <v>439</v>
      </c>
      <c r="B492" s="62" t="s">
        <v>439</v>
      </c>
      <c r="C492" s="63"/>
      <c r="D492" s="64"/>
      <c r="E492" s="65"/>
      <c r="F492" s="66"/>
      <c r="G492" s="63"/>
      <c r="H492" s="67"/>
      <c r="I492" s="68"/>
      <c r="J492" s="68"/>
      <c r="K492" s="32"/>
      <c r="L492" s="75">
        <v>492</v>
      </c>
      <c r="M492" s="75"/>
      <c r="N492" s="70"/>
      <c r="O492" s="77" t="s">
        <v>179</v>
      </c>
      <c r="P492" s="79">
        <v>45170.572743055556</v>
      </c>
      <c r="Q492" s="77" t="s">
        <v>1073</v>
      </c>
      <c r="R492" s="77">
        <v>0</v>
      </c>
      <c r="S492" s="77">
        <v>0</v>
      </c>
      <c r="T492" s="77">
        <v>0</v>
      </c>
      <c r="U492" s="77">
        <v>0</v>
      </c>
      <c r="V492" s="77">
        <v>9</v>
      </c>
      <c r="W492" s="82" t="s">
        <v>1883</v>
      </c>
      <c r="X492" s="80" t="str">
        <f>HYPERLINK("http://linkr.bio/iniciar_")</f>
        <v>http://linkr.bio/iniciar_</v>
      </c>
      <c r="Y492" s="77" t="s">
        <v>2163</v>
      </c>
      <c r="Z492" s="77"/>
      <c r="AA492" s="77" t="s">
        <v>2518</v>
      </c>
      <c r="AB492" s="77" t="s">
        <v>2713</v>
      </c>
      <c r="AC492" s="82" t="s">
        <v>2720</v>
      </c>
      <c r="AD492" s="77" t="s">
        <v>2752</v>
      </c>
      <c r="AE492" s="80" t="str">
        <f>HYPERLINK("https://twitter.com/rafaelamorimofc/status/1697606421678895610")</f>
        <v>https://twitter.com/rafaelamorimofc/status/1697606421678895610</v>
      </c>
      <c r="AF492" s="79">
        <v>45170.572743055556</v>
      </c>
      <c r="AG492" s="85">
        <v>45170</v>
      </c>
      <c r="AH492" s="82" t="s">
        <v>3242</v>
      </c>
      <c r="AI492" s="77" t="b">
        <v>0</v>
      </c>
      <c r="AJ492" s="77"/>
      <c r="AK492" s="77"/>
      <c r="AL492" s="77"/>
      <c r="AM492" s="77"/>
      <c r="AN492" s="77"/>
      <c r="AO492" s="77"/>
      <c r="AP492" s="77"/>
      <c r="AQ492" s="77" t="s">
        <v>4144</v>
      </c>
      <c r="AR492" s="77">
        <v>9433</v>
      </c>
      <c r="AS492" s="77"/>
      <c r="AT492" s="77"/>
      <c r="AU492" s="77"/>
      <c r="AV492" s="80" t="str">
        <f>HYPERLINK("https://pbs.twimg.com/ext_tw_video_thumb/1697606368658612224/pu/img/fkJ9D9GhGzK9XJjJ.jpg")</f>
        <v>https://pbs.twimg.com/ext_tw_video_thumb/1697606368658612224/pu/img/fkJ9D9GhGzK9XJjJ.jpg</v>
      </c>
      <c r="AW492" s="82" t="s">
        <v>4825</v>
      </c>
      <c r="AX492" s="82" t="s">
        <v>4825</v>
      </c>
      <c r="AY492" s="77"/>
      <c r="AZ492" s="82" t="s">
        <v>5615</v>
      </c>
      <c r="BA492" s="82" t="s">
        <v>5615</v>
      </c>
      <c r="BB492" s="82" t="s">
        <v>5615</v>
      </c>
      <c r="BC492" s="82" t="s">
        <v>4825</v>
      </c>
      <c r="BD492" s="82" t="s">
        <v>6011</v>
      </c>
      <c r="BE492" s="77"/>
      <c r="BF492" s="77"/>
      <c r="BG492" s="77"/>
      <c r="BH492" s="77"/>
      <c r="BI492" s="77"/>
    </row>
    <row r="493" spans="1:61" x14ac:dyDescent="0.25">
      <c r="A493" s="62" t="s">
        <v>439</v>
      </c>
      <c r="B493" s="62" t="s">
        <v>439</v>
      </c>
      <c r="C493" s="63"/>
      <c r="D493" s="64"/>
      <c r="E493" s="65"/>
      <c r="F493" s="66"/>
      <c r="G493" s="63"/>
      <c r="H493" s="67"/>
      <c r="I493" s="68"/>
      <c r="J493" s="68"/>
      <c r="K493" s="32"/>
      <c r="L493" s="75">
        <v>493</v>
      </c>
      <c r="M493" s="75"/>
      <c r="N493" s="70"/>
      <c r="O493" s="77" t="s">
        <v>179</v>
      </c>
      <c r="P493" s="79">
        <v>45152.573657407411</v>
      </c>
      <c r="Q493" s="77" t="s">
        <v>1074</v>
      </c>
      <c r="R493" s="77">
        <v>0</v>
      </c>
      <c r="S493" s="77">
        <v>0</v>
      </c>
      <c r="T493" s="77">
        <v>0</v>
      </c>
      <c r="U493" s="77">
        <v>0</v>
      </c>
      <c r="V493" s="77">
        <v>37</v>
      </c>
      <c r="W493" s="82" t="s">
        <v>1883</v>
      </c>
      <c r="X493" s="80" t="str">
        <f>HYPERLINK("https://linkr.bio/iniciar_")</f>
        <v>https://linkr.bio/iniciar_</v>
      </c>
      <c r="Y493" s="77" t="s">
        <v>2163</v>
      </c>
      <c r="Z493" s="77"/>
      <c r="AA493" s="77" t="s">
        <v>2519</v>
      </c>
      <c r="AB493" s="77" t="s">
        <v>2713</v>
      </c>
      <c r="AC493" s="82" t="s">
        <v>2720</v>
      </c>
      <c r="AD493" s="77" t="s">
        <v>2752</v>
      </c>
      <c r="AE493" s="80" t="str">
        <f>HYPERLINK("https://twitter.com/rafaelamorimofc/status/1691083769791361026")</f>
        <v>https://twitter.com/rafaelamorimofc/status/1691083769791361026</v>
      </c>
      <c r="AF493" s="79">
        <v>45152.573657407411</v>
      </c>
      <c r="AG493" s="85">
        <v>45152</v>
      </c>
      <c r="AH493" s="82" t="s">
        <v>3243</v>
      </c>
      <c r="AI493" s="77" t="b">
        <v>0</v>
      </c>
      <c r="AJ493" s="77"/>
      <c r="AK493" s="77"/>
      <c r="AL493" s="77"/>
      <c r="AM493" s="77"/>
      <c r="AN493" s="77"/>
      <c r="AO493" s="77"/>
      <c r="AP493" s="77"/>
      <c r="AQ493" s="77" t="s">
        <v>4145</v>
      </c>
      <c r="AR493" s="77">
        <v>12148</v>
      </c>
      <c r="AS493" s="77"/>
      <c r="AT493" s="77"/>
      <c r="AU493" s="77"/>
      <c r="AV493" s="80" t="str">
        <f>HYPERLINK("https://pbs.twimg.com/ext_tw_video_thumb/1691083641982455810/pu/img/yy7Cr7CPREbp3DoF.jpg")</f>
        <v>https://pbs.twimg.com/ext_tw_video_thumb/1691083641982455810/pu/img/yy7Cr7CPREbp3DoF.jpg</v>
      </c>
      <c r="AW493" s="82" t="s">
        <v>4826</v>
      </c>
      <c r="AX493" s="82" t="s">
        <v>4826</v>
      </c>
      <c r="AY493" s="77"/>
      <c r="AZ493" s="82" t="s">
        <v>5615</v>
      </c>
      <c r="BA493" s="82" t="s">
        <v>5615</v>
      </c>
      <c r="BB493" s="82" t="s">
        <v>5615</v>
      </c>
      <c r="BC493" s="82" t="s">
        <v>4826</v>
      </c>
      <c r="BD493" s="82" t="s">
        <v>6011</v>
      </c>
      <c r="BE493" s="77"/>
      <c r="BF493" s="77"/>
      <c r="BG493" s="77"/>
      <c r="BH493" s="77"/>
      <c r="BI493" s="77"/>
    </row>
    <row r="494" spans="1:61" x14ac:dyDescent="0.25">
      <c r="A494" s="62" t="s">
        <v>439</v>
      </c>
      <c r="B494" s="62" t="s">
        <v>439</v>
      </c>
      <c r="C494" s="63"/>
      <c r="D494" s="64"/>
      <c r="E494" s="65"/>
      <c r="F494" s="66"/>
      <c r="G494" s="63"/>
      <c r="H494" s="67"/>
      <c r="I494" s="68"/>
      <c r="J494" s="68"/>
      <c r="K494" s="32"/>
      <c r="L494" s="75">
        <v>494</v>
      </c>
      <c r="M494" s="75"/>
      <c r="N494" s="70"/>
      <c r="O494" s="77" t="s">
        <v>179</v>
      </c>
      <c r="P494" s="79">
        <v>45188.574074074073</v>
      </c>
      <c r="Q494" s="77" t="s">
        <v>1075</v>
      </c>
      <c r="R494" s="77">
        <v>0</v>
      </c>
      <c r="S494" s="77">
        <v>0</v>
      </c>
      <c r="T494" s="77">
        <v>0</v>
      </c>
      <c r="U494" s="77">
        <v>0</v>
      </c>
      <c r="V494" s="77">
        <v>11</v>
      </c>
      <c r="W494" s="82" t="s">
        <v>1883</v>
      </c>
      <c r="X494" s="80" t="str">
        <f>HYPERLINK("http://linkr.bio/iniciar_")</f>
        <v>http://linkr.bio/iniciar_</v>
      </c>
      <c r="Y494" s="77" t="s">
        <v>2163</v>
      </c>
      <c r="Z494" s="77"/>
      <c r="AA494" s="77" t="s">
        <v>2520</v>
      </c>
      <c r="AB494" s="77" t="s">
        <v>2713</v>
      </c>
      <c r="AC494" s="82" t="s">
        <v>2720</v>
      </c>
      <c r="AD494" s="77" t="s">
        <v>2752</v>
      </c>
      <c r="AE494" s="80" t="str">
        <f>HYPERLINK("https://twitter.com/rafaelamorimofc/status/1704129883272581230")</f>
        <v>https://twitter.com/rafaelamorimofc/status/1704129883272581230</v>
      </c>
      <c r="AF494" s="79">
        <v>45188.574074074073</v>
      </c>
      <c r="AG494" s="85">
        <v>45188</v>
      </c>
      <c r="AH494" s="82" t="s">
        <v>3244</v>
      </c>
      <c r="AI494" s="77" t="b">
        <v>0</v>
      </c>
      <c r="AJ494" s="77"/>
      <c r="AK494" s="77"/>
      <c r="AL494" s="77"/>
      <c r="AM494" s="77"/>
      <c r="AN494" s="77"/>
      <c r="AO494" s="77"/>
      <c r="AP494" s="77"/>
      <c r="AQ494" s="77" t="s">
        <v>4146</v>
      </c>
      <c r="AR494" s="77">
        <v>13750</v>
      </c>
      <c r="AS494" s="77"/>
      <c r="AT494" s="77"/>
      <c r="AU494" s="77"/>
      <c r="AV494" s="80" t="str">
        <f>HYPERLINK("https://pbs.twimg.com/ext_tw_video_thumb/1704129798300401664/pu/img/lPVSECTJ5Ug3PZMV.jpg")</f>
        <v>https://pbs.twimg.com/ext_tw_video_thumb/1704129798300401664/pu/img/lPVSECTJ5Ug3PZMV.jpg</v>
      </c>
      <c r="AW494" s="82" t="s">
        <v>4827</v>
      </c>
      <c r="AX494" s="82" t="s">
        <v>4827</v>
      </c>
      <c r="AY494" s="77"/>
      <c r="AZ494" s="82" t="s">
        <v>5615</v>
      </c>
      <c r="BA494" s="82" t="s">
        <v>5615</v>
      </c>
      <c r="BB494" s="82" t="s">
        <v>5615</v>
      </c>
      <c r="BC494" s="82" t="s">
        <v>4827</v>
      </c>
      <c r="BD494" s="82" t="s">
        <v>6011</v>
      </c>
      <c r="BE494" s="77"/>
      <c r="BF494" s="77"/>
      <c r="BG494" s="77"/>
      <c r="BH494" s="77"/>
      <c r="BI494" s="77"/>
    </row>
    <row r="495" spans="1:61" x14ac:dyDescent="0.25">
      <c r="A495" s="62" t="s">
        <v>439</v>
      </c>
      <c r="B495" s="62" t="s">
        <v>439</v>
      </c>
      <c r="C495" s="63"/>
      <c r="D495" s="64"/>
      <c r="E495" s="65"/>
      <c r="F495" s="66"/>
      <c r="G495" s="63"/>
      <c r="H495" s="67"/>
      <c r="I495" s="68"/>
      <c r="J495" s="68"/>
      <c r="K495" s="32"/>
      <c r="L495" s="75">
        <v>495</v>
      </c>
      <c r="M495" s="75"/>
      <c r="N495" s="70"/>
      <c r="O495" s="77" t="s">
        <v>179</v>
      </c>
      <c r="P495" s="79">
        <v>45171.596365740741</v>
      </c>
      <c r="Q495" s="77" t="s">
        <v>1076</v>
      </c>
      <c r="R495" s="77">
        <v>0</v>
      </c>
      <c r="S495" s="77">
        <v>0</v>
      </c>
      <c r="T495" s="77">
        <v>0</v>
      </c>
      <c r="U495" s="77">
        <v>0</v>
      </c>
      <c r="V495" s="77">
        <v>10</v>
      </c>
      <c r="W495" s="82" t="s">
        <v>1883</v>
      </c>
      <c r="X495" s="80" t="str">
        <f>HYPERLINK("http://linkr.bio/iniciar_")</f>
        <v>http://linkr.bio/iniciar_</v>
      </c>
      <c r="Y495" s="77" t="s">
        <v>2163</v>
      </c>
      <c r="Z495" s="77"/>
      <c r="AA495" s="77" t="s">
        <v>2521</v>
      </c>
      <c r="AB495" s="77" t="s">
        <v>2713</v>
      </c>
      <c r="AC495" s="82" t="s">
        <v>2720</v>
      </c>
      <c r="AD495" s="77" t="s">
        <v>2752</v>
      </c>
      <c r="AE495" s="80" t="str">
        <f>HYPERLINK("https://twitter.com/rafaelamorimofc/status/1697977370106355892")</f>
        <v>https://twitter.com/rafaelamorimofc/status/1697977370106355892</v>
      </c>
      <c r="AF495" s="79">
        <v>45171.596365740741</v>
      </c>
      <c r="AG495" s="85">
        <v>45171</v>
      </c>
      <c r="AH495" s="82" t="s">
        <v>3245</v>
      </c>
      <c r="AI495" s="77" t="b">
        <v>0</v>
      </c>
      <c r="AJ495" s="77"/>
      <c r="AK495" s="77"/>
      <c r="AL495" s="77"/>
      <c r="AM495" s="77"/>
      <c r="AN495" s="77"/>
      <c r="AO495" s="77"/>
      <c r="AP495" s="77"/>
      <c r="AQ495" s="77" t="s">
        <v>4147</v>
      </c>
      <c r="AR495" s="77">
        <v>7213</v>
      </c>
      <c r="AS495" s="77"/>
      <c r="AT495" s="77"/>
      <c r="AU495" s="77"/>
      <c r="AV495" s="80" t="str">
        <f>HYPERLINK("https://pbs.twimg.com/ext_tw_video_thumb/1697977318587686912/pu/img/PKETTNUIpLTxJZph.jpg")</f>
        <v>https://pbs.twimg.com/ext_tw_video_thumb/1697977318587686912/pu/img/PKETTNUIpLTxJZph.jpg</v>
      </c>
      <c r="AW495" s="82" t="s">
        <v>4828</v>
      </c>
      <c r="AX495" s="82" t="s">
        <v>4828</v>
      </c>
      <c r="AY495" s="77"/>
      <c r="AZ495" s="82" t="s">
        <v>5615</v>
      </c>
      <c r="BA495" s="82" t="s">
        <v>5615</v>
      </c>
      <c r="BB495" s="82" t="s">
        <v>5615</v>
      </c>
      <c r="BC495" s="82" t="s">
        <v>4828</v>
      </c>
      <c r="BD495" s="82" t="s">
        <v>6011</v>
      </c>
      <c r="BE495" s="77"/>
      <c r="BF495" s="77"/>
      <c r="BG495" s="77"/>
      <c r="BH495" s="77"/>
      <c r="BI495" s="77"/>
    </row>
    <row r="496" spans="1:61" x14ac:dyDescent="0.25">
      <c r="A496" s="62" t="s">
        <v>439</v>
      </c>
      <c r="B496" s="62" t="s">
        <v>439</v>
      </c>
      <c r="C496" s="63"/>
      <c r="D496" s="64"/>
      <c r="E496" s="65"/>
      <c r="F496" s="66"/>
      <c r="G496" s="63"/>
      <c r="H496" s="67"/>
      <c r="I496" s="68"/>
      <c r="J496" s="68"/>
      <c r="K496" s="32"/>
      <c r="L496" s="75">
        <v>496</v>
      </c>
      <c r="M496" s="75"/>
      <c r="N496" s="70"/>
      <c r="O496" s="77" t="s">
        <v>179</v>
      </c>
      <c r="P496" s="79">
        <v>45170.636354166665</v>
      </c>
      <c r="Q496" s="77" t="s">
        <v>1077</v>
      </c>
      <c r="R496" s="77">
        <v>0</v>
      </c>
      <c r="S496" s="77">
        <v>0</v>
      </c>
      <c r="T496" s="77">
        <v>0</v>
      </c>
      <c r="U496" s="77">
        <v>0</v>
      </c>
      <c r="V496" s="77">
        <v>14</v>
      </c>
      <c r="W496" s="82" t="s">
        <v>1883</v>
      </c>
      <c r="X496" s="80" t="str">
        <f>HYPERLINK("http://linkr.bio/iniciar_")</f>
        <v>http://linkr.bio/iniciar_</v>
      </c>
      <c r="Y496" s="77" t="s">
        <v>2163</v>
      </c>
      <c r="Z496" s="77"/>
      <c r="AA496" s="77" t="s">
        <v>2522</v>
      </c>
      <c r="AB496" s="77" t="s">
        <v>2713</v>
      </c>
      <c r="AC496" s="82" t="s">
        <v>2720</v>
      </c>
      <c r="AD496" s="77" t="s">
        <v>2752</v>
      </c>
      <c r="AE496" s="80" t="str">
        <f>HYPERLINK("https://twitter.com/rafaelamorimofc/status/1697629472722125153")</f>
        <v>https://twitter.com/rafaelamorimofc/status/1697629472722125153</v>
      </c>
      <c r="AF496" s="79">
        <v>45170.636354166665</v>
      </c>
      <c r="AG496" s="85">
        <v>45170</v>
      </c>
      <c r="AH496" s="82" t="s">
        <v>3246</v>
      </c>
      <c r="AI496" s="77" t="b">
        <v>0</v>
      </c>
      <c r="AJ496" s="77"/>
      <c r="AK496" s="77"/>
      <c r="AL496" s="77"/>
      <c r="AM496" s="77"/>
      <c r="AN496" s="77"/>
      <c r="AO496" s="77"/>
      <c r="AP496" s="77"/>
      <c r="AQ496" s="77" t="s">
        <v>4148</v>
      </c>
      <c r="AR496" s="77">
        <v>13110</v>
      </c>
      <c r="AS496" s="77"/>
      <c r="AT496" s="77"/>
      <c r="AU496" s="77"/>
      <c r="AV496" s="80" t="str">
        <f>HYPERLINK("https://pbs.twimg.com/ext_tw_video_thumb/1697629334171766784/pu/img/N5VfXcOwh4NimBA1.jpg")</f>
        <v>https://pbs.twimg.com/ext_tw_video_thumb/1697629334171766784/pu/img/N5VfXcOwh4NimBA1.jpg</v>
      </c>
      <c r="AW496" s="82" t="s">
        <v>4829</v>
      </c>
      <c r="AX496" s="82" t="s">
        <v>4829</v>
      </c>
      <c r="AY496" s="77"/>
      <c r="AZ496" s="82" t="s">
        <v>5615</v>
      </c>
      <c r="BA496" s="82" t="s">
        <v>5615</v>
      </c>
      <c r="BB496" s="82" t="s">
        <v>5615</v>
      </c>
      <c r="BC496" s="82" t="s">
        <v>4829</v>
      </c>
      <c r="BD496" s="82" t="s">
        <v>6011</v>
      </c>
      <c r="BE496" s="77"/>
      <c r="BF496" s="77"/>
      <c r="BG496" s="77"/>
      <c r="BH496" s="77"/>
      <c r="BI496" s="77"/>
    </row>
    <row r="497" spans="1:61" x14ac:dyDescent="0.25">
      <c r="A497" s="62" t="s">
        <v>439</v>
      </c>
      <c r="B497" s="62" t="s">
        <v>439</v>
      </c>
      <c r="C497" s="63"/>
      <c r="D497" s="64"/>
      <c r="E497" s="65"/>
      <c r="F497" s="66"/>
      <c r="G497" s="63"/>
      <c r="H497" s="67"/>
      <c r="I497" s="68"/>
      <c r="J497" s="68"/>
      <c r="K497" s="32"/>
      <c r="L497" s="75">
        <v>497</v>
      </c>
      <c r="M497" s="75"/>
      <c r="N497" s="70"/>
      <c r="O497" s="77" t="s">
        <v>179</v>
      </c>
      <c r="P497" s="79">
        <v>45154.614884259259</v>
      </c>
      <c r="Q497" s="77" t="s">
        <v>1078</v>
      </c>
      <c r="R497" s="77">
        <v>0</v>
      </c>
      <c r="S497" s="77">
        <v>0</v>
      </c>
      <c r="T497" s="77">
        <v>0</v>
      </c>
      <c r="U497" s="77">
        <v>0</v>
      </c>
      <c r="V497" s="77">
        <v>21</v>
      </c>
      <c r="W497" s="82" t="s">
        <v>1883</v>
      </c>
      <c r="X497" s="80" t="str">
        <f>HYPERLINK("http://linkr.bio/iniciar_")</f>
        <v>http://linkr.bio/iniciar_</v>
      </c>
      <c r="Y497" s="77" t="s">
        <v>2163</v>
      </c>
      <c r="Z497" s="77"/>
      <c r="AA497" s="77" t="s">
        <v>2523</v>
      </c>
      <c r="AB497" s="77" t="s">
        <v>2713</v>
      </c>
      <c r="AC497" s="82" t="s">
        <v>2720</v>
      </c>
      <c r="AD497" s="77" t="s">
        <v>2752</v>
      </c>
      <c r="AE497" s="80" t="str">
        <f>HYPERLINK("https://twitter.com/rafaelamorimofc/status/1691823487894036618")</f>
        <v>https://twitter.com/rafaelamorimofc/status/1691823487894036618</v>
      </c>
      <c r="AF497" s="79">
        <v>45154.614884259259</v>
      </c>
      <c r="AG497" s="85">
        <v>45154</v>
      </c>
      <c r="AH497" s="82" t="s">
        <v>3247</v>
      </c>
      <c r="AI497" s="77" t="b">
        <v>0</v>
      </c>
      <c r="AJ497" s="77"/>
      <c r="AK497" s="77"/>
      <c r="AL497" s="77"/>
      <c r="AM497" s="77"/>
      <c r="AN497" s="77"/>
      <c r="AO497" s="77"/>
      <c r="AP497" s="77"/>
      <c r="AQ497" s="77" t="s">
        <v>4149</v>
      </c>
      <c r="AR497" s="77">
        <v>6923</v>
      </c>
      <c r="AS497" s="77"/>
      <c r="AT497" s="77"/>
      <c r="AU497" s="77"/>
      <c r="AV497" s="80" t="str">
        <f>HYPERLINK("https://pbs.twimg.com/ext_tw_video_thumb/1691823377634205697/pu/img/iclr6FS6nS9Sbtqa.jpg")</f>
        <v>https://pbs.twimg.com/ext_tw_video_thumb/1691823377634205697/pu/img/iclr6FS6nS9Sbtqa.jpg</v>
      </c>
      <c r="AW497" s="82" t="s">
        <v>4830</v>
      </c>
      <c r="AX497" s="82" t="s">
        <v>4830</v>
      </c>
      <c r="AY497" s="77"/>
      <c r="AZ497" s="82" t="s">
        <v>5615</v>
      </c>
      <c r="BA497" s="82" t="s">
        <v>5615</v>
      </c>
      <c r="BB497" s="82" t="s">
        <v>5615</v>
      </c>
      <c r="BC497" s="82" t="s">
        <v>4830</v>
      </c>
      <c r="BD497" s="82" t="s">
        <v>6011</v>
      </c>
      <c r="BE497" s="77"/>
      <c r="BF497" s="77"/>
      <c r="BG497" s="77"/>
      <c r="BH497" s="77"/>
      <c r="BI497" s="77"/>
    </row>
    <row r="498" spans="1:61" x14ac:dyDescent="0.25">
      <c r="A498" s="62" t="s">
        <v>439</v>
      </c>
      <c r="B498" s="62" t="s">
        <v>439</v>
      </c>
      <c r="C498" s="63"/>
      <c r="D498" s="64"/>
      <c r="E498" s="65"/>
      <c r="F498" s="66"/>
      <c r="G498" s="63"/>
      <c r="H498" s="67"/>
      <c r="I498" s="68"/>
      <c r="J498" s="68"/>
      <c r="K498" s="32"/>
      <c r="L498" s="75">
        <v>498</v>
      </c>
      <c r="M498" s="75"/>
      <c r="N498" s="70"/>
      <c r="O498" s="77" t="s">
        <v>179</v>
      </c>
      <c r="P498" s="79">
        <v>45153.986342592594</v>
      </c>
      <c r="Q498" s="77" t="s">
        <v>1079</v>
      </c>
      <c r="R498" s="77">
        <v>0</v>
      </c>
      <c r="S498" s="77">
        <v>0</v>
      </c>
      <c r="T498" s="77">
        <v>1</v>
      </c>
      <c r="U498" s="77">
        <v>0</v>
      </c>
      <c r="V498" s="77">
        <v>19</v>
      </c>
      <c r="W498" s="82" t="s">
        <v>1883</v>
      </c>
      <c r="X498" s="80" t="str">
        <f>HYPERLINK("http://linkr.bio/iniciar_")</f>
        <v>http://linkr.bio/iniciar_</v>
      </c>
      <c r="Y498" s="77" t="s">
        <v>2163</v>
      </c>
      <c r="Z498" s="77"/>
      <c r="AA498" s="77" t="s">
        <v>2524</v>
      </c>
      <c r="AB498" s="77" t="s">
        <v>2713</v>
      </c>
      <c r="AC498" s="82" t="s">
        <v>2720</v>
      </c>
      <c r="AD498" s="77" t="s">
        <v>2752</v>
      </c>
      <c r="AE498" s="80" t="str">
        <f>HYPERLINK("https://twitter.com/rafaelamorimofc/status/1691595710792094054")</f>
        <v>https://twitter.com/rafaelamorimofc/status/1691595710792094054</v>
      </c>
      <c r="AF498" s="79">
        <v>45153.986342592594</v>
      </c>
      <c r="AG498" s="85">
        <v>45153</v>
      </c>
      <c r="AH498" s="82" t="s">
        <v>3248</v>
      </c>
      <c r="AI498" s="77" t="b">
        <v>0</v>
      </c>
      <c r="AJ498" s="77"/>
      <c r="AK498" s="77"/>
      <c r="AL498" s="77"/>
      <c r="AM498" s="77"/>
      <c r="AN498" s="77"/>
      <c r="AO498" s="77"/>
      <c r="AP498" s="77"/>
      <c r="AQ498" s="77" t="s">
        <v>4150</v>
      </c>
      <c r="AR498" s="77">
        <v>10016</v>
      </c>
      <c r="AS498" s="77"/>
      <c r="AT498" s="77"/>
      <c r="AU498" s="77"/>
      <c r="AV498" s="80" t="str">
        <f>HYPERLINK("https://pbs.twimg.com/ext_tw_video_thumb/1691595663803355138/pu/img/dqQWNmSv8qKPMa9n.jpg")</f>
        <v>https://pbs.twimg.com/ext_tw_video_thumb/1691595663803355138/pu/img/dqQWNmSv8qKPMa9n.jpg</v>
      </c>
      <c r="AW498" s="82" t="s">
        <v>4831</v>
      </c>
      <c r="AX498" s="82" t="s">
        <v>4831</v>
      </c>
      <c r="AY498" s="77"/>
      <c r="AZ498" s="82" t="s">
        <v>5615</v>
      </c>
      <c r="BA498" s="82" t="s">
        <v>5615</v>
      </c>
      <c r="BB498" s="82" t="s">
        <v>5615</v>
      </c>
      <c r="BC498" s="82" t="s">
        <v>4831</v>
      </c>
      <c r="BD498" s="82" t="s">
        <v>6011</v>
      </c>
      <c r="BE498" s="77"/>
      <c r="BF498" s="77"/>
      <c r="BG498" s="77"/>
      <c r="BH498" s="77"/>
      <c r="BI498" s="77"/>
    </row>
    <row r="499" spans="1:61" x14ac:dyDescent="0.25">
      <c r="A499" s="62" t="s">
        <v>439</v>
      </c>
      <c r="B499" s="62" t="s">
        <v>439</v>
      </c>
      <c r="C499" s="63"/>
      <c r="D499" s="64"/>
      <c r="E499" s="65"/>
      <c r="F499" s="66"/>
      <c r="G499" s="63"/>
      <c r="H499" s="67"/>
      <c r="I499" s="68"/>
      <c r="J499" s="68"/>
      <c r="K499" s="32"/>
      <c r="L499" s="75">
        <v>499</v>
      </c>
      <c r="M499" s="75"/>
      <c r="N499" s="70"/>
      <c r="O499" s="77" t="s">
        <v>179</v>
      </c>
      <c r="P499" s="79">
        <v>45153.504861111112</v>
      </c>
      <c r="Q499" s="77" t="s">
        <v>1080</v>
      </c>
      <c r="R499" s="77">
        <v>0</v>
      </c>
      <c r="S499" s="77">
        <v>0</v>
      </c>
      <c r="T499" s="77">
        <v>0</v>
      </c>
      <c r="U499" s="77">
        <v>0</v>
      </c>
      <c r="V499" s="77">
        <v>19</v>
      </c>
      <c r="W499" s="82" t="s">
        <v>1883</v>
      </c>
      <c r="X499" s="80" t="str">
        <f>HYPERLINK("http://linkr.bio/iniciar_")</f>
        <v>http://linkr.bio/iniciar_</v>
      </c>
      <c r="Y499" s="77" t="s">
        <v>2163</v>
      </c>
      <c r="Z499" s="77"/>
      <c r="AA499" s="77" t="s">
        <v>2525</v>
      </c>
      <c r="AB499" s="77" t="s">
        <v>2713</v>
      </c>
      <c r="AC499" s="82" t="s">
        <v>2720</v>
      </c>
      <c r="AD499" s="77" t="s">
        <v>2752</v>
      </c>
      <c r="AE499" s="80" t="str">
        <f>HYPERLINK("https://twitter.com/rafaelamorimofc/status/1691421226223177729")</f>
        <v>https://twitter.com/rafaelamorimofc/status/1691421226223177729</v>
      </c>
      <c r="AF499" s="79">
        <v>45153.504861111112</v>
      </c>
      <c r="AG499" s="85">
        <v>45153</v>
      </c>
      <c r="AH499" s="82" t="s">
        <v>3249</v>
      </c>
      <c r="AI499" s="77" t="b">
        <v>0</v>
      </c>
      <c r="AJ499" s="77"/>
      <c r="AK499" s="77"/>
      <c r="AL499" s="77"/>
      <c r="AM499" s="77"/>
      <c r="AN499" s="77"/>
      <c r="AO499" s="77"/>
      <c r="AP499" s="77"/>
      <c r="AQ499" s="77" t="s">
        <v>4151</v>
      </c>
      <c r="AR499" s="77">
        <v>10440</v>
      </c>
      <c r="AS499" s="77"/>
      <c r="AT499" s="77"/>
      <c r="AU499" s="77"/>
      <c r="AV499" s="80" t="str">
        <f>HYPERLINK("https://pbs.twimg.com/ext_tw_video_thumb/1691421204274446336/pu/img/x4P6PMitZQvE8bAK.jpg")</f>
        <v>https://pbs.twimg.com/ext_tw_video_thumb/1691421204274446336/pu/img/x4P6PMitZQvE8bAK.jpg</v>
      </c>
      <c r="AW499" s="82" t="s">
        <v>4832</v>
      </c>
      <c r="AX499" s="82" t="s">
        <v>4832</v>
      </c>
      <c r="AY499" s="77"/>
      <c r="AZ499" s="82" t="s">
        <v>5615</v>
      </c>
      <c r="BA499" s="82" t="s">
        <v>5615</v>
      </c>
      <c r="BB499" s="82" t="s">
        <v>5615</v>
      </c>
      <c r="BC499" s="82" t="s">
        <v>4832</v>
      </c>
      <c r="BD499" s="82" t="s">
        <v>6011</v>
      </c>
      <c r="BE499" s="77"/>
      <c r="BF499" s="77"/>
      <c r="BG499" s="77"/>
      <c r="BH499" s="77"/>
      <c r="BI499" s="77"/>
    </row>
    <row r="500" spans="1:61" x14ac:dyDescent="0.25">
      <c r="A500" s="62" t="s">
        <v>439</v>
      </c>
      <c r="B500" s="62" t="s">
        <v>439</v>
      </c>
      <c r="C500" s="63"/>
      <c r="D500" s="64"/>
      <c r="E500" s="65"/>
      <c r="F500" s="66"/>
      <c r="G500" s="63"/>
      <c r="H500" s="67"/>
      <c r="I500" s="68"/>
      <c r="J500" s="68"/>
      <c r="K500" s="32"/>
      <c r="L500" s="75">
        <v>500</v>
      </c>
      <c r="M500" s="75"/>
      <c r="N500" s="70"/>
      <c r="O500" s="77" t="s">
        <v>179</v>
      </c>
      <c r="P500" s="79">
        <v>45149.625185185185</v>
      </c>
      <c r="Q500" s="77" t="s">
        <v>1081</v>
      </c>
      <c r="R500" s="77">
        <v>0</v>
      </c>
      <c r="S500" s="77">
        <v>0</v>
      </c>
      <c r="T500" s="77">
        <v>0</v>
      </c>
      <c r="U500" s="77">
        <v>0</v>
      </c>
      <c r="V500" s="77">
        <v>22</v>
      </c>
      <c r="W500" s="82" t="s">
        <v>1884</v>
      </c>
      <c r="X500" s="80" t="str">
        <f>HYPERLINK("http://linkr.bio/iniciar_")</f>
        <v>http://linkr.bio/iniciar_</v>
      </c>
      <c r="Y500" s="77" t="s">
        <v>2163</v>
      </c>
      <c r="Z500" s="77"/>
      <c r="AA500" s="77" t="s">
        <v>2526</v>
      </c>
      <c r="AB500" s="77" t="s">
        <v>2713</v>
      </c>
      <c r="AC500" s="82" t="s">
        <v>2720</v>
      </c>
      <c r="AD500" s="77" t="s">
        <v>2752</v>
      </c>
      <c r="AE500" s="80" t="str">
        <f>HYPERLINK("https://twitter.com/rafaelamorimofc/status/1690015279747612673")</f>
        <v>https://twitter.com/rafaelamorimofc/status/1690015279747612673</v>
      </c>
      <c r="AF500" s="79">
        <v>45149.625185185185</v>
      </c>
      <c r="AG500" s="85">
        <v>45149</v>
      </c>
      <c r="AH500" s="82" t="s">
        <v>3250</v>
      </c>
      <c r="AI500" s="77" t="b">
        <v>0</v>
      </c>
      <c r="AJ500" s="77"/>
      <c r="AK500" s="77"/>
      <c r="AL500" s="77"/>
      <c r="AM500" s="77"/>
      <c r="AN500" s="77"/>
      <c r="AO500" s="77"/>
      <c r="AP500" s="77"/>
      <c r="AQ500" s="77" t="s">
        <v>4152</v>
      </c>
      <c r="AR500" s="77">
        <v>6843</v>
      </c>
      <c r="AS500" s="77"/>
      <c r="AT500" s="77"/>
      <c r="AU500" s="77"/>
      <c r="AV500" s="80" t="str">
        <f>HYPERLINK("https://pbs.twimg.com/ext_tw_video_thumb/1690015190203383808/pu/img/IA9_3K6-Yr0deK2_.jpg")</f>
        <v>https://pbs.twimg.com/ext_tw_video_thumb/1690015190203383808/pu/img/IA9_3K6-Yr0deK2_.jpg</v>
      </c>
      <c r="AW500" s="82" t="s">
        <v>4833</v>
      </c>
      <c r="AX500" s="82" t="s">
        <v>4833</v>
      </c>
      <c r="AY500" s="77"/>
      <c r="AZ500" s="82" t="s">
        <v>5615</v>
      </c>
      <c r="BA500" s="82" t="s">
        <v>5615</v>
      </c>
      <c r="BB500" s="82" t="s">
        <v>5615</v>
      </c>
      <c r="BC500" s="82" t="s">
        <v>4833</v>
      </c>
      <c r="BD500" s="82" t="s">
        <v>6011</v>
      </c>
      <c r="BE500" s="77"/>
      <c r="BF500" s="77"/>
      <c r="BG500" s="77"/>
      <c r="BH500" s="77"/>
      <c r="BI500" s="77"/>
    </row>
    <row r="501" spans="1:61" x14ac:dyDescent="0.25">
      <c r="A501" s="62" t="s">
        <v>439</v>
      </c>
      <c r="B501" s="62" t="s">
        <v>439</v>
      </c>
      <c r="C501" s="63"/>
      <c r="D501" s="64"/>
      <c r="E501" s="65"/>
      <c r="F501" s="66"/>
      <c r="G501" s="63"/>
      <c r="H501" s="67"/>
      <c r="I501" s="68"/>
      <c r="J501" s="68"/>
      <c r="K501" s="32"/>
      <c r="L501" s="75">
        <v>501</v>
      </c>
      <c r="M501" s="75"/>
      <c r="N501" s="70"/>
      <c r="O501" s="77" t="s">
        <v>179</v>
      </c>
      <c r="P501" s="79">
        <v>45149.554166666669</v>
      </c>
      <c r="Q501" s="77" t="s">
        <v>1082</v>
      </c>
      <c r="R501" s="77">
        <v>0</v>
      </c>
      <c r="S501" s="77">
        <v>0</v>
      </c>
      <c r="T501" s="77">
        <v>0</v>
      </c>
      <c r="U501" s="77">
        <v>0</v>
      </c>
      <c r="V501" s="77">
        <v>22</v>
      </c>
      <c r="W501" s="82" t="s">
        <v>1884</v>
      </c>
      <c r="X501" s="80" t="str">
        <f>HYPERLINK("http://linkr.bio/iniciar_")</f>
        <v>http://linkr.bio/iniciar_</v>
      </c>
      <c r="Y501" s="77" t="s">
        <v>2163</v>
      </c>
      <c r="Z501" s="77"/>
      <c r="AA501" s="77" t="s">
        <v>2527</v>
      </c>
      <c r="AB501" s="77" t="s">
        <v>2713</v>
      </c>
      <c r="AC501" s="82" t="s">
        <v>2720</v>
      </c>
      <c r="AD501" s="77" t="s">
        <v>2752</v>
      </c>
      <c r="AE501" s="80" t="str">
        <f>HYPERLINK("https://twitter.com/rafaelamorimofc/status/1689989544353906688")</f>
        <v>https://twitter.com/rafaelamorimofc/status/1689989544353906688</v>
      </c>
      <c r="AF501" s="79">
        <v>45149.554166666669</v>
      </c>
      <c r="AG501" s="85">
        <v>45149</v>
      </c>
      <c r="AH501" s="82" t="s">
        <v>3251</v>
      </c>
      <c r="AI501" s="77" t="b">
        <v>0</v>
      </c>
      <c r="AJ501" s="77"/>
      <c r="AK501" s="77"/>
      <c r="AL501" s="77"/>
      <c r="AM501" s="77"/>
      <c r="AN501" s="77"/>
      <c r="AO501" s="77"/>
      <c r="AP501" s="77"/>
      <c r="AQ501" s="77" t="s">
        <v>4153</v>
      </c>
      <c r="AR501" s="77">
        <v>8970</v>
      </c>
      <c r="AS501" s="77"/>
      <c r="AT501" s="77"/>
      <c r="AU501" s="77"/>
      <c r="AV501" s="80" t="str">
        <f>HYPERLINK("https://pbs.twimg.com/ext_tw_video_thumb/1689989478381649920/pu/img/cII1DHrPS3cgDCH-.jpg")</f>
        <v>https://pbs.twimg.com/ext_tw_video_thumb/1689989478381649920/pu/img/cII1DHrPS3cgDCH-.jpg</v>
      </c>
      <c r="AW501" s="82" t="s">
        <v>4834</v>
      </c>
      <c r="AX501" s="82" t="s">
        <v>4834</v>
      </c>
      <c r="AY501" s="77"/>
      <c r="AZ501" s="82" t="s">
        <v>5615</v>
      </c>
      <c r="BA501" s="82" t="s">
        <v>5615</v>
      </c>
      <c r="BB501" s="82" t="s">
        <v>5615</v>
      </c>
      <c r="BC501" s="82" t="s">
        <v>4834</v>
      </c>
      <c r="BD501" s="82" t="s">
        <v>6011</v>
      </c>
      <c r="BE501" s="77"/>
      <c r="BF501" s="77"/>
      <c r="BG501" s="77"/>
      <c r="BH501" s="77"/>
      <c r="BI501" s="77"/>
    </row>
    <row r="502" spans="1:61" x14ac:dyDescent="0.25">
      <c r="A502" s="62" t="s">
        <v>439</v>
      </c>
      <c r="B502" s="62" t="s">
        <v>439</v>
      </c>
      <c r="C502" s="63"/>
      <c r="D502" s="64"/>
      <c r="E502" s="65"/>
      <c r="F502" s="66"/>
      <c r="G502" s="63"/>
      <c r="H502" s="67"/>
      <c r="I502" s="68"/>
      <c r="J502" s="68"/>
      <c r="K502" s="32"/>
      <c r="L502" s="75">
        <v>502</v>
      </c>
      <c r="M502" s="75"/>
      <c r="N502" s="70"/>
      <c r="O502" s="77" t="s">
        <v>179</v>
      </c>
      <c r="P502" s="79">
        <v>45189.950856481482</v>
      </c>
      <c r="Q502" s="77" t="s">
        <v>1083</v>
      </c>
      <c r="R502" s="77">
        <v>0</v>
      </c>
      <c r="S502" s="77">
        <v>0</v>
      </c>
      <c r="T502" s="77">
        <v>0</v>
      </c>
      <c r="U502" s="77">
        <v>0</v>
      </c>
      <c r="V502" s="77">
        <v>7</v>
      </c>
      <c r="W502" s="82" t="s">
        <v>1883</v>
      </c>
      <c r="X502" s="80" t="str">
        <f>HYPERLINK("http://linkr.bio/iniciar_")</f>
        <v>http://linkr.bio/iniciar_</v>
      </c>
      <c r="Y502" s="77" t="s">
        <v>2163</v>
      </c>
      <c r="Z502" s="77"/>
      <c r="AA502" s="77" t="s">
        <v>2528</v>
      </c>
      <c r="AB502" s="77" t="s">
        <v>2713</v>
      </c>
      <c r="AC502" s="82" t="s">
        <v>2720</v>
      </c>
      <c r="AD502" s="77" t="s">
        <v>2752</v>
      </c>
      <c r="AE502" s="80" t="str">
        <f>HYPERLINK("https://twitter.com/rafaelamorimofc/status/1704628815152988318")</f>
        <v>https://twitter.com/rafaelamorimofc/status/1704628815152988318</v>
      </c>
      <c r="AF502" s="79">
        <v>45189.950856481482</v>
      </c>
      <c r="AG502" s="85">
        <v>45189</v>
      </c>
      <c r="AH502" s="82" t="s">
        <v>3252</v>
      </c>
      <c r="AI502" s="77" t="b">
        <v>0</v>
      </c>
      <c r="AJ502" s="77"/>
      <c r="AK502" s="77"/>
      <c r="AL502" s="77"/>
      <c r="AM502" s="77"/>
      <c r="AN502" s="77"/>
      <c r="AO502" s="77"/>
      <c r="AP502" s="77"/>
      <c r="AQ502" s="77" t="s">
        <v>4154</v>
      </c>
      <c r="AR502" s="77">
        <v>11593</v>
      </c>
      <c r="AS502" s="77"/>
      <c r="AT502" s="77"/>
      <c r="AU502" s="77"/>
      <c r="AV502" s="80" t="str">
        <f>HYPERLINK("https://pbs.twimg.com/ext_tw_video_thumb/1704628722043654144/pu/img/WqHzJ8d-nUMX6ZJl.jpg")</f>
        <v>https://pbs.twimg.com/ext_tw_video_thumb/1704628722043654144/pu/img/WqHzJ8d-nUMX6ZJl.jpg</v>
      </c>
      <c r="AW502" s="82" t="s">
        <v>4835</v>
      </c>
      <c r="AX502" s="82" t="s">
        <v>4835</v>
      </c>
      <c r="AY502" s="77"/>
      <c r="AZ502" s="82" t="s">
        <v>5615</v>
      </c>
      <c r="BA502" s="82" t="s">
        <v>5615</v>
      </c>
      <c r="BB502" s="82" t="s">
        <v>5615</v>
      </c>
      <c r="BC502" s="82" t="s">
        <v>4835</v>
      </c>
      <c r="BD502" s="82" t="s">
        <v>6011</v>
      </c>
      <c r="BE502" s="77"/>
      <c r="BF502" s="77"/>
      <c r="BG502" s="77"/>
      <c r="BH502" s="77"/>
      <c r="BI502" s="77"/>
    </row>
    <row r="503" spans="1:61" x14ac:dyDescent="0.25">
      <c r="A503" s="62" t="s">
        <v>439</v>
      </c>
      <c r="B503" s="62" t="s">
        <v>439</v>
      </c>
      <c r="C503" s="63"/>
      <c r="D503" s="64"/>
      <c r="E503" s="65"/>
      <c r="F503" s="66"/>
      <c r="G503" s="63"/>
      <c r="H503" s="67"/>
      <c r="I503" s="68"/>
      <c r="J503" s="68"/>
      <c r="K503" s="32"/>
      <c r="L503" s="75">
        <v>503</v>
      </c>
      <c r="M503" s="75"/>
      <c r="N503" s="70"/>
      <c r="O503" s="77" t="s">
        <v>179</v>
      </c>
      <c r="P503" s="79">
        <v>45189.550150462965</v>
      </c>
      <c r="Q503" s="77" t="s">
        <v>1084</v>
      </c>
      <c r="R503" s="77">
        <v>0</v>
      </c>
      <c r="S503" s="77">
        <v>0</v>
      </c>
      <c r="T503" s="77">
        <v>0</v>
      </c>
      <c r="U503" s="77">
        <v>0</v>
      </c>
      <c r="V503" s="77">
        <v>9</v>
      </c>
      <c r="W503" s="82" t="s">
        <v>1883</v>
      </c>
      <c r="X503" s="80" t="str">
        <f>HYPERLINK("http://linkr.bio/iniciar_")</f>
        <v>http://linkr.bio/iniciar_</v>
      </c>
      <c r="Y503" s="77" t="s">
        <v>2163</v>
      </c>
      <c r="Z503" s="77"/>
      <c r="AA503" s="77" t="s">
        <v>2529</v>
      </c>
      <c r="AB503" s="77" t="s">
        <v>2713</v>
      </c>
      <c r="AC503" s="82" t="s">
        <v>2720</v>
      </c>
      <c r="AD503" s="77" t="s">
        <v>2752</v>
      </c>
      <c r="AE503" s="80" t="str">
        <f>HYPERLINK("https://twitter.com/rafaelamorimofc/status/1704483605072740673")</f>
        <v>https://twitter.com/rafaelamorimofc/status/1704483605072740673</v>
      </c>
      <c r="AF503" s="79">
        <v>45189.550150462965</v>
      </c>
      <c r="AG503" s="85">
        <v>45189</v>
      </c>
      <c r="AH503" s="82" t="s">
        <v>3253</v>
      </c>
      <c r="AI503" s="77" t="b">
        <v>0</v>
      </c>
      <c r="AJ503" s="77"/>
      <c r="AK503" s="77"/>
      <c r="AL503" s="77"/>
      <c r="AM503" s="77"/>
      <c r="AN503" s="77"/>
      <c r="AO503" s="77"/>
      <c r="AP503" s="77"/>
      <c r="AQ503" s="77" t="s">
        <v>4155</v>
      </c>
      <c r="AR503" s="77">
        <v>8811</v>
      </c>
      <c r="AS503" s="77"/>
      <c r="AT503" s="77"/>
      <c r="AU503" s="77"/>
      <c r="AV503" s="80" t="str">
        <f>HYPERLINK("https://pbs.twimg.com/ext_tw_video_thumb/1704483541810085888/pu/img/pDAj_wwN2REMaDKu.jpg")</f>
        <v>https://pbs.twimg.com/ext_tw_video_thumb/1704483541810085888/pu/img/pDAj_wwN2REMaDKu.jpg</v>
      </c>
      <c r="AW503" s="82" t="s">
        <v>4836</v>
      </c>
      <c r="AX503" s="82" t="s">
        <v>4836</v>
      </c>
      <c r="AY503" s="77"/>
      <c r="AZ503" s="82" t="s">
        <v>5615</v>
      </c>
      <c r="BA503" s="82" t="s">
        <v>5615</v>
      </c>
      <c r="BB503" s="82" t="s">
        <v>5615</v>
      </c>
      <c r="BC503" s="82" t="s">
        <v>4836</v>
      </c>
      <c r="BD503" s="82" t="s">
        <v>6011</v>
      </c>
      <c r="BE503" s="77"/>
      <c r="BF503" s="77"/>
      <c r="BG503" s="77"/>
      <c r="BH503" s="77"/>
      <c r="BI503" s="77"/>
    </row>
    <row r="504" spans="1:61" x14ac:dyDescent="0.25">
      <c r="A504" s="62" t="s">
        <v>439</v>
      </c>
      <c r="B504" s="62" t="s">
        <v>439</v>
      </c>
      <c r="C504" s="63"/>
      <c r="D504" s="64"/>
      <c r="E504" s="65"/>
      <c r="F504" s="66"/>
      <c r="G504" s="63"/>
      <c r="H504" s="67"/>
      <c r="I504" s="68"/>
      <c r="J504" s="68"/>
      <c r="K504" s="32"/>
      <c r="L504" s="75">
        <v>504</v>
      </c>
      <c r="M504" s="75"/>
      <c r="N504" s="70"/>
      <c r="O504" s="77" t="s">
        <v>179</v>
      </c>
      <c r="P504" s="79">
        <v>45173.580023148148</v>
      </c>
      <c r="Q504" s="77" t="s">
        <v>1085</v>
      </c>
      <c r="R504" s="77">
        <v>0</v>
      </c>
      <c r="S504" s="77">
        <v>0</v>
      </c>
      <c r="T504" s="77">
        <v>0</v>
      </c>
      <c r="U504" s="77">
        <v>0</v>
      </c>
      <c r="V504" s="77">
        <v>10</v>
      </c>
      <c r="W504" s="82" t="s">
        <v>1883</v>
      </c>
      <c r="X504" s="80" t="str">
        <f>HYPERLINK("http://linkr.bio/iniciar_")</f>
        <v>http://linkr.bio/iniciar_</v>
      </c>
      <c r="Y504" s="77" t="s">
        <v>2163</v>
      </c>
      <c r="Z504" s="77"/>
      <c r="AA504" s="77" t="s">
        <v>2530</v>
      </c>
      <c r="AB504" s="77" t="s">
        <v>2713</v>
      </c>
      <c r="AC504" s="82" t="s">
        <v>2720</v>
      </c>
      <c r="AD504" s="77" t="s">
        <v>2752</v>
      </c>
      <c r="AE504" s="80" t="str">
        <f>HYPERLINK("https://twitter.com/rafaelamorimofc/status/1698696221605478638")</f>
        <v>https://twitter.com/rafaelamorimofc/status/1698696221605478638</v>
      </c>
      <c r="AF504" s="79">
        <v>45173.580023148148</v>
      </c>
      <c r="AG504" s="85">
        <v>45173</v>
      </c>
      <c r="AH504" s="82" t="s">
        <v>3254</v>
      </c>
      <c r="AI504" s="77" t="b">
        <v>0</v>
      </c>
      <c r="AJ504" s="77"/>
      <c r="AK504" s="77"/>
      <c r="AL504" s="77"/>
      <c r="AM504" s="77"/>
      <c r="AN504" s="77"/>
      <c r="AO504" s="77"/>
      <c r="AP504" s="77"/>
      <c r="AQ504" s="77" t="s">
        <v>4156</v>
      </c>
      <c r="AR504" s="77">
        <v>7458</v>
      </c>
      <c r="AS504" s="77"/>
      <c r="AT504" s="77"/>
      <c r="AU504" s="77"/>
      <c r="AV504" s="80" t="str">
        <f>HYPERLINK("https://pbs.twimg.com/ext_tw_video_thumb/1698696155394129920/pu/img/WrRMR-UhydkhCFn7.jpg")</f>
        <v>https://pbs.twimg.com/ext_tw_video_thumb/1698696155394129920/pu/img/WrRMR-UhydkhCFn7.jpg</v>
      </c>
      <c r="AW504" s="82" t="s">
        <v>4837</v>
      </c>
      <c r="AX504" s="82" t="s">
        <v>4837</v>
      </c>
      <c r="AY504" s="77"/>
      <c r="AZ504" s="82" t="s">
        <v>5615</v>
      </c>
      <c r="BA504" s="82" t="s">
        <v>5615</v>
      </c>
      <c r="BB504" s="82" t="s">
        <v>5615</v>
      </c>
      <c r="BC504" s="82" t="s">
        <v>4837</v>
      </c>
      <c r="BD504" s="82" t="s">
        <v>6011</v>
      </c>
      <c r="BE504" s="77"/>
      <c r="BF504" s="77"/>
      <c r="BG504" s="77"/>
      <c r="BH504" s="77"/>
      <c r="BI504" s="77"/>
    </row>
    <row r="505" spans="1:61" x14ac:dyDescent="0.25">
      <c r="A505" s="62" t="s">
        <v>439</v>
      </c>
      <c r="B505" s="62" t="s">
        <v>439</v>
      </c>
      <c r="C505" s="63"/>
      <c r="D505" s="64"/>
      <c r="E505" s="65"/>
      <c r="F505" s="66"/>
      <c r="G505" s="63"/>
      <c r="H505" s="67"/>
      <c r="I505" s="68"/>
      <c r="J505" s="68"/>
      <c r="K505" s="32"/>
      <c r="L505" s="75">
        <v>505</v>
      </c>
      <c r="M505" s="75"/>
      <c r="N505" s="70"/>
      <c r="O505" s="77" t="s">
        <v>179</v>
      </c>
      <c r="P505" s="79">
        <v>45155.525659722225</v>
      </c>
      <c r="Q505" s="77" t="s">
        <v>1086</v>
      </c>
      <c r="R505" s="77">
        <v>0</v>
      </c>
      <c r="S505" s="77">
        <v>0</v>
      </c>
      <c r="T505" s="77">
        <v>0</v>
      </c>
      <c r="U505" s="77">
        <v>0</v>
      </c>
      <c r="V505" s="77">
        <v>14</v>
      </c>
      <c r="W505" s="82" t="s">
        <v>1883</v>
      </c>
      <c r="X505" s="80" t="str">
        <f>HYPERLINK("http://linkr.bio/iniciar_")</f>
        <v>http://linkr.bio/iniciar_</v>
      </c>
      <c r="Y505" s="77" t="s">
        <v>2163</v>
      </c>
      <c r="Z505" s="77"/>
      <c r="AA505" s="77" t="s">
        <v>2531</v>
      </c>
      <c r="AB505" s="77" t="s">
        <v>2713</v>
      </c>
      <c r="AC505" s="82" t="s">
        <v>2720</v>
      </c>
      <c r="AD505" s="77" t="s">
        <v>2752</v>
      </c>
      <c r="AE505" s="80" t="str">
        <f>HYPERLINK("https://twitter.com/rafaelamorimofc/status/1692153540121124918")</f>
        <v>https://twitter.com/rafaelamorimofc/status/1692153540121124918</v>
      </c>
      <c r="AF505" s="79">
        <v>45155.525659722225</v>
      </c>
      <c r="AG505" s="85">
        <v>45155</v>
      </c>
      <c r="AH505" s="82" t="s">
        <v>3255</v>
      </c>
      <c r="AI505" s="77" t="b">
        <v>0</v>
      </c>
      <c r="AJ505" s="77"/>
      <c r="AK505" s="77"/>
      <c r="AL505" s="77"/>
      <c r="AM505" s="77"/>
      <c r="AN505" s="77"/>
      <c r="AO505" s="77"/>
      <c r="AP505" s="77"/>
      <c r="AQ505" s="77" t="s">
        <v>4157</v>
      </c>
      <c r="AR505" s="77">
        <v>14280</v>
      </c>
      <c r="AS505" s="77"/>
      <c r="AT505" s="77"/>
      <c r="AU505" s="77"/>
      <c r="AV505" s="80" t="str">
        <f>HYPERLINK("https://pbs.twimg.com/ext_tw_video_thumb/1692153497431547904/pu/img/uMM2LE-q3F035tRo.jpg")</f>
        <v>https://pbs.twimg.com/ext_tw_video_thumb/1692153497431547904/pu/img/uMM2LE-q3F035tRo.jpg</v>
      </c>
      <c r="AW505" s="82" t="s">
        <v>4838</v>
      </c>
      <c r="AX505" s="82" t="s">
        <v>4838</v>
      </c>
      <c r="AY505" s="77"/>
      <c r="AZ505" s="82" t="s">
        <v>5615</v>
      </c>
      <c r="BA505" s="82" t="s">
        <v>5615</v>
      </c>
      <c r="BB505" s="82" t="s">
        <v>5615</v>
      </c>
      <c r="BC505" s="82" t="s">
        <v>4838</v>
      </c>
      <c r="BD505" s="82" t="s">
        <v>6011</v>
      </c>
      <c r="BE505" s="77"/>
      <c r="BF505" s="77"/>
      <c r="BG505" s="77"/>
      <c r="BH505" s="77"/>
      <c r="BI505" s="77"/>
    </row>
    <row r="506" spans="1:61" x14ac:dyDescent="0.25">
      <c r="A506" s="62" t="s">
        <v>439</v>
      </c>
      <c r="B506" s="62" t="s">
        <v>439</v>
      </c>
      <c r="C506" s="63"/>
      <c r="D506" s="64"/>
      <c r="E506" s="65"/>
      <c r="F506" s="66"/>
      <c r="G506" s="63"/>
      <c r="H506" s="67"/>
      <c r="I506" s="68"/>
      <c r="J506" s="68"/>
      <c r="K506" s="32"/>
      <c r="L506" s="75">
        <v>506</v>
      </c>
      <c r="M506" s="75"/>
      <c r="N506" s="70"/>
      <c r="O506" s="77" t="s">
        <v>179</v>
      </c>
      <c r="P506" s="79">
        <v>45141.637291666666</v>
      </c>
      <c r="Q506" s="77" t="s">
        <v>1087</v>
      </c>
      <c r="R506" s="77">
        <v>0</v>
      </c>
      <c r="S506" s="77">
        <v>0</v>
      </c>
      <c r="T506" s="77">
        <v>0</v>
      </c>
      <c r="U506" s="77">
        <v>0</v>
      </c>
      <c r="V506" s="77">
        <v>24</v>
      </c>
      <c r="W506" s="82" t="s">
        <v>1884</v>
      </c>
      <c r="X506" s="80" t="str">
        <f>HYPERLINK("http://linkr.bio/iniciar_")</f>
        <v>http://linkr.bio/iniciar_</v>
      </c>
      <c r="Y506" s="77" t="s">
        <v>2163</v>
      </c>
      <c r="Z506" s="77"/>
      <c r="AA506" s="77" t="s">
        <v>2532</v>
      </c>
      <c r="AB506" s="77" t="s">
        <v>2713</v>
      </c>
      <c r="AC506" s="82" t="s">
        <v>2720</v>
      </c>
      <c r="AD506" s="77" t="s">
        <v>2752</v>
      </c>
      <c r="AE506" s="80" t="str">
        <f>HYPERLINK("https://twitter.com/rafaelamorimofc/status/1687120566212255746")</f>
        <v>https://twitter.com/rafaelamorimofc/status/1687120566212255746</v>
      </c>
      <c r="AF506" s="79">
        <v>45141.637291666666</v>
      </c>
      <c r="AG506" s="85">
        <v>45141</v>
      </c>
      <c r="AH506" s="82" t="s">
        <v>3256</v>
      </c>
      <c r="AI506" s="77" t="b">
        <v>0</v>
      </c>
      <c r="AJ506" s="77"/>
      <c r="AK506" s="77"/>
      <c r="AL506" s="77"/>
      <c r="AM506" s="77"/>
      <c r="AN506" s="77"/>
      <c r="AO506" s="77"/>
      <c r="AP506" s="77"/>
      <c r="AQ506" s="77" t="s">
        <v>4158</v>
      </c>
      <c r="AR506" s="77">
        <v>12270</v>
      </c>
      <c r="AS506" s="77"/>
      <c r="AT506" s="77"/>
      <c r="AU506" s="77"/>
      <c r="AV506" s="80" t="str">
        <f>HYPERLINK("https://pbs.twimg.com/ext_tw_video_thumb/1687120447417065473/pu/img/2rInVKXuSZfqoSTV.jpg")</f>
        <v>https://pbs.twimg.com/ext_tw_video_thumb/1687120447417065473/pu/img/2rInVKXuSZfqoSTV.jpg</v>
      </c>
      <c r="AW506" s="82" t="s">
        <v>4839</v>
      </c>
      <c r="AX506" s="82" t="s">
        <v>4839</v>
      </c>
      <c r="AY506" s="77"/>
      <c r="AZ506" s="82" t="s">
        <v>5615</v>
      </c>
      <c r="BA506" s="82" t="s">
        <v>5615</v>
      </c>
      <c r="BB506" s="82" t="s">
        <v>5615</v>
      </c>
      <c r="BC506" s="82" t="s">
        <v>4839</v>
      </c>
      <c r="BD506" s="82" t="s">
        <v>6011</v>
      </c>
      <c r="BE506" s="77"/>
      <c r="BF506" s="77"/>
      <c r="BG506" s="77"/>
      <c r="BH506" s="77"/>
      <c r="BI506" s="77"/>
    </row>
    <row r="507" spans="1:61" x14ac:dyDescent="0.25">
      <c r="A507" s="62" t="s">
        <v>439</v>
      </c>
      <c r="B507" s="62" t="s">
        <v>439</v>
      </c>
      <c r="C507" s="63"/>
      <c r="D507" s="64"/>
      <c r="E507" s="65"/>
      <c r="F507" s="66"/>
      <c r="G507" s="63"/>
      <c r="H507" s="67"/>
      <c r="I507" s="68"/>
      <c r="J507" s="68"/>
      <c r="K507" s="32"/>
      <c r="L507" s="75">
        <v>507</v>
      </c>
      <c r="M507" s="75"/>
      <c r="N507" s="70"/>
      <c r="O507" s="77" t="s">
        <v>179</v>
      </c>
      <c r="P507" s="79">
        <v>45140.678136574075</v>
      </c>
      <c r="Q507" s="77" t="s">
        <v>1088</v>
      </c>
      <c r="R507" s="77">
        <v>0</v>
      </c>
      <c r="S507" s="77">
        <v>0</v>
      </c>
      <c r="T507" s="77">
        <v>0</v>
      </c>
      <c r="U507" s="77">
        <v>0</v>
      </c>
      <c r="V507" s="77">
        <v>22</v>
      </c>
      <c r="W507" s="82" t="s">
        <v>1884</v>
      </c>
      <c r="X507" s="80" t="str">
        <f>HYPERLINK("http://linkr.bio/iniciar_")</f>
        <v>http://linkr.bio/iniciar_</v>
      </c>
      <c r="Y507" s="77" t="s">
        <v>2163</v>
      </c>
      <c r="Z507" s="77"/>
      <c r="AA507" s="77" t="s">
        <v>2533</v>
      </c>
      <c r="AB507" s="77" t="s">
        <v>2713</v>
      </c>
      <c r="AC507" s="82" t="s">
        <v>2720</v>
      </c>
      <c r="AD507" s="77" t="s">
        <v>2752</v>
      </c>
      <c r="AE507" s="80" t="str">
        <f>HYPERLINK("https://twitter.com/rafaelamorimofc/status/1686772978631987201")</f>
        <v>https://twitter.com/rafaelamorimofc/status/1686772978631987201</v>
      </c>
      <c r="AF507" s="79">
        <v>45140.678136574075</v>
      </c>
      <c r="AG507" s="85">
        <v>45140</v>
      </c>
      <c r="AH507" s="82" t="s">
        <v>3257</v>
      </c>
      <c r="AI507" s="77" t="b">
        <v>0</v>
      </c>
      <c r="AJ507" s="77"/>
      <c r="AK507" s="77"/>
      <c r="AL507" s="77"/>
      <c r="AM507" s="77"/>
      <c r="AN507" s="77"/>
      <c r="AO507" s="77"/>
      <c r="AP507" s="77"/>
      <c r="AQ507" s="77" t="s">
        <v>4159</v>
      </c>
      <c r="AR507" s="77">
        <v>9016</v>
      </c>
      <c r="AS507" s="77"/>
      <c r="AT507" s="77"/>
      <c r="AU507" s="77"/>
      <c r="AV507" s="80" t="str">
        <f>HYPERLINK("https://pbs.twimg.com/ext_tw_video_thumb/1686772902736117760/pu/img/yW-JK3jbCkOT8vmS.jpg")</f>
        <v>https://pbs.twimg.com/ext_tw_video_thumb/1686772902736117760/pu/img/yW-JK3jbCkOT8vmS.jpg</v>
      </c>
      <c r="AW507" s="82" t="s">
        <v>4840</v>
      </c>
      <c r="AX507" s="82" t="s">
        <v>4840</v>
      </c>
      <c r="AY507" s="77"/>
      <c r="AZ507" s="82" t="s">
        <v>5615</v>
      </c>
      <c r="BA507" s="82" t="s">
        <v>5615</v>
      </c>
      <c r="BB507" s="82" t="s">
        <v>5615</v>
      </c>
      <c r="BC507" s="82" t="s">
        <v>4840</v>
      </c>
      <c r="BD507" s="82" t="s">
        <v>6011</v>
      </c>
      <c r="BE507" s="77"/>
      <c r="BF507" s="77"/>
      <c r="BG507" s="77"/>
      <c r="BH507" s="77"/>
      <c r="BI507" s="77"/>
    </row>
    <row r="508" spans="1:61" x14ac:dyDescent="0.25">
      <c r="A508" s="62" t="s">
        <v>439</v>
      </c>
      <c r="B508" s="62" t="s">
        <v>439</v>
      </c>
      <c r="C508" s="63"/>
      <c r="D508" s="64"/>
      <c r="E508" s="65"/>
      <c r="F508" s="66"/>
      <c r="G508" s="63"/>
      <c r="H508" s="67"/>
      <c r="I508" s="68"/>
      <c r="J508" s="68"/>
      <c r="K508" s="32"/>
      <c r="L508" s="75">
        <v>508</v>
      </c>
      <c r="M508" s="75"/>
      <c r="N508" s="70"/>
      <c r="O508" s="77" t="s">
        <v>179</v>
      </c>
      <c r="P508" s="79">
        <v>45073.621342592596</v>
      </c>
      <c r="Q508" s="77" t="s">
        <v>1089</v>
      </c>
      <c r="R508" s="77">
        <v>0</v>
      </c>
      <c r="S508" s="77">
        <v>0</v>
      </c>
      <c r="T508" s="77">
        <v>0</v>
      </c>
      <c r="U508" s="77">
        <v>0</v>
      </c>
      <c r="V508" s="77">
        <v>74</v>
      </c>
      <c r="W508" s="82" t="s">
        <v>1885</v>
      </c>
      <c r="X508" s="77"/>
      <c r="Y508" s="77"/>
      <c r="Z508" s="77"/>
      <c r="AA508" s="77" t="s">
        <v>2534</v>
      </c>
      <c r="AB508" s="77" t="s">
        <v>2713</v>
      </c>
      <c r="AC508" s="82" t="s">
        <v>2720</v>
      </c>
      <c r="AD508" s="77" t="s">
        <v>2752</v>
      </c>
      <c r="AE508" s="80" t="str">
        <f>HYPERLINK("https://twitter.com/rafaelamorimofc/status/1662472409260195842")</f>
        <v>https://twitter.com/rafaelamorimofc/status/1662472409260195842</v>
      </c>
      <c r="AF508" s="79">
        <v>45073.621342592596</v>
      </c>
      <c r="AG508" s="85">
        <v>45073</v>
      </c>
      <c r="AH508" s="82" t="s">
        <v>3258</v>
      </c>
      <c r="AI508" s="77" t="b">
        <v>0</v>
      </c>
      <c r="AJ508" s="77"/>
      <c r="AK508" s="77"/>
      <c r="AL508" s="77"/>
      <c r="AM508" s="77"/>
      <c r="AN508" s="77"/>
      <c r="AO508" s="77"/>
      <c r="AP508" s="77"/>
      <c r="AQ508" s="77" t="s">
        <v>4160</v>
      </c>
      <c r="AR508" s="77">
        <v>7443</v>
      </c>
      <c r="AS508" s="77"/>
      <c r="AT508" s="77"/>
      <c r="AU508" s="77"/>
      <c r="AV508" s="80" t="str">
        <f>HYPERLINK("https://pbs.twimg.com/ext_tw_video_thumb/1662472348098854913/pu/img/YuESnoyLMq-Ex3JC.jpg")</f>
        <v>https://pbs.twimg.com/ext_tw_video_thumb/1662472348098854913/pu/img/YuESnoyLMq-Ex3JC.jpg</v>
      </c>
      <c r="AW508" s="82" t="s">
        <v>4841</v>
      </c>
      <c r="AX508" s="82" t="s">
        <v>4841</v>
      </c>
      <c r="AY508" s="77"/>
      <c r="AZ508" s="82" t="s">
        <v>5615</v>
      </c>
      <c r="BA508" s="82" t="s">
        <v>5615</v>
      </c>
      <c r="BB508" s="82" t="s">
        <v>5615</v>
      </c>
      <c r="BC508" s="82" t="s">
        <v>4841</v>
      </c>
      <c r="BD508" s="82" t="s">
        <v>6011</v>
      </c>
      <c r="BE508" s="77"/>
      <c r="BF508" s="77"/>
      <c r="BG508" s="77"/>
      <c r="BH508" s="77"/>
      <c r="BI508" s="77"/>
    </row>
    <row r="509" spans="1:61" x14ac:dyDescent="0.25">
      <c r="A509" s="62" t="s">
        <v>440</v>
      </c>
      <c r="B509" s="62" t="s">
        <v>440</v>
      </c>
      <c r="C509" s="63"/>
      <c r="D509" s="64"/>
      <c r="E509" s="65"/>
      <c r="F509" s="66"/>
      <c r="G509" s="63"/>
      <c r="H509" s="67"/>
      <c r="I509" s="68"/>
      <c r="J509" s="68"/>
      <c r="K509" s="32"/>
      <c r="L509" s="75">
        <v>509</v>
      </c>
      <c r="M509" s="75"/>
      <c r="N509" s="70"/>
      <c r="O509" s="77" t="s">
        <v>179</v>
      </c>
      <c r="P509" s="79">
        <v>45129.400752314818</v>
      </c>
      <c r="Q509" s="77" t="s">
        <v>1090</v>
      </c>
      <c r="R509" s="77">
        <v>0</v>
      </c>
      <c r="S509" s="77">
        <v>0</v>
      </c>
      <c r="T509" s="77">
        <v>0</v>
      </c>
      <c r="U509" s="77">
        <v>0</v>
      </c>
      <c r="V509" s="77">
        <v>8</v>
      </c>
      <c r="W509" s="82" t="s">
        <v>1886</v>
      </c>
      <c r="X509" s="77"/>
      <c r="Y509" s="77"/>
      <c r="Z509" s="77"/>
      <c r="AA509" s="77" t="s">
        <v>2535</v>
      </c>
      <c r="AB509" s="77" t="s">
        <v>2714</v>
      </c>
      <c r="AC509" s="82" t="s">
        <v>2719</v>
      </c>
      <c r="AD509" s="77" t="s">
        <v>2753</v>
      </c>
      <c r="AE509" s="80" t="str">
        <f>HYPERLINK("https://twitter.com/hailsonmkt37825/status/1682686193207582720")</f>
        <v>https://twitter.com/hailsonmkt37825/status/1682686193207582720</v>
      </c>
      <c r="AF509" s="79">
        <v>45129.400752314818</v>
      </c>
      <c r="AG509" s="85">
        <v>45129</v>
      </c>
      <c r="AH509" s="82" t="s">
        <v>3259</v>
      </c>
      <c r="AI509" s="77" t="b">
        <v>0</v>
      </c>
      <c r="AJ509" s="77"/>
      <c r="AK509" s="77"/>
      <c r="AL509" s="77"/>
      <c r="AM509" s="77"/>
      <c r="AN509" s="77"/>
      <c r="AO509" s="77"/>
      <c r="AP509" s="77"/>
      <c r="AQ509" s="77" t="s">
        <v>4161</v>
      </c>
      <c r="AR509" s="77"/>
      <c r="AS509" s="77"/>
      <c r="AT509" s="77"/>
      <c r="AU509" s="77"/>
      <c r="AV509" s="80" t="str">
        <f>HYPERLINK("https://pbs.twimg.com/media/F1oaLMBWAAUMOqg.jpg")</f>
        <v>https://pbs.twimg.com/media/F1oaLMBWAAUMOqg.jpg</v>
      </c>
      <c r="AW509" s="82" t="s">
        <v>4842</v>
      </c>
      <c r="AX509" s="82" t="s">
        <v>4842</v>
      </c>
      <c r="AY509" s="77"/>
      <c r="AZ509" s="82" t="s">
        <v>5615</v>
      </c>
      <c r="BA509" s="82" t="s">
        <v>5615</v>
      </c>
      <c r="BB509" s="82" t="s">
        <v>5615</v>
      </c>
      <c r="BC509" s="82" t="s">
        <v>4842</v>
      </c>
      <c r="BD509" s="82" t="s">
        <v>6012</v>
      </c>
      <c r="BE509" s="77"/>
      <c r="BF509" s="77"/>
      <c r="BG509" s="77"/>
      <c r="BH509" s="77"/>
      <c r="BI509" s="77"/>
    </row>
    <row r="510" spans="1:61" x14ac:dyDescent="0.25">
      <c r="A510" s="62" t="s">
        <v>441</v>
      </c>
      <c r="B510" s="62" t="s">
        <v>441</v>
      </c>
      <c r="C510" s="63"/>
      <c r="D510" s="64"/>
      <c r="E510" s="65"/>
      <c r="F510" s="66"/>
      <c r="G510" s="63"/>
      <c r="H510" s="67"/>
      <c r="I510" s="68"/>
      <c r="J510" s="68"/>
      <c r="K510" s="32"/>
      <c r="L510" s="75">
        <v>510</v>
      </c>
      <c r="M510" s="75"/>
      <c r="N510" s="70"/>
      <c r="O510" s="77" t="s">
        <v>583</v>
      </c>
      <c r="P510" s="79">
        <v>44944.648738425924</v>
      </c>
      <c r="Q510" s="77" t="s">
        <v>1091</v>
      </c>
      <c r="R510" s="77">
        <v>0</v>
      </c>
      <c r="S510" s="77">
        <v>0</v>
      </c>
      <c r="T510" s="77">
        <v>0</v>
      </c>
      <c r="U510" s="77">
        <v>0</v>
      </c>
      <c r="V510" s="77">
        <v>23</v>
      </c>
      <c r="W510" s="82" t="s">
        <v>1887</v>
      </c>
      <c r="X510" s="77"/>
      <c r="Y510" s="77"/>
      <c r="Z510" s="77"/>
      <c r="AA510" s="77"/>
      <c r="AB510" s="77"/>
      <c r="AC510" s="82" t="s">
        <v>2720</v>
      </c>
      <c r="AD510" s="77" t="s">
        <v>2752</v>
      </c>
      <c r="AE510" s="80" t="str">
        <f>HYPERLINK("https://twitter.com/sejabimanager/status/1615734302263623684")</f>
        <v>https://twitter.com/sejabimanager/status/1615734302263623684</v>
      </c>
      <c r="AF510" s="79">
        <v>44944.648738425924</v>
      </c>
      <c r="AG510" s="85">
        <v>44944</v>
      </c>
      <c r="AH510" s="82" t="s">
        <v>3260</v>
      </c>
      <c r="AI510" s="77"/>
      <c r="AJ510" s="77"/>
      <c r="AK510" s="77"/>
      <c r="AL510" s="77"/>
      <c r="AM510" s="77"/>
      <c r="AN510" s="77"/>
      <c r="AO510" s="77"/>
      <c r="AP510" s="77"/>
      <c r="AQ510" s="77"/>
      <c r="AR510" s="77"/>
      <c r="AS510" s="77"/>
      <c r="AT510" s="77"/>
      <c r="AU510" s="77"/>
      <c r="AV510" s="80" t="str">
        <f>HYPERLINK("https://pbs.twimg.com/profile_images/1591127922856820760/MV5_ReqD_normal.jpg")</f>
        <v>https://pbs.twimg.com/profile_images/1591127922856820760/MV5_ReqD_normal.jpg</v>
      </c>
      <c r="AW510" s="82" t="s">
        <v>4843</v>
      </c>
      <c r="AX510" s="82" t="s">
        <v>5344</v>
      </c>
      <c r="AY510" s="82" t="s">
        <v>5598</v>
      </c>
      <c r="AZ510" s="82" t="s">
        <v>5344</v>
      </c>
      <c r="BA510" s="82" t="s">
        <v>5615</v>
      </c>
      <c r="BB510" s="82" t="s">
        <v>5615</v>
      </c>
      <c r="BC510" s="82" t="s">
        <v>5344</v>
      </c>
      <c r="BD510" s="82" t="s">
        <v>5598</v>
      </c>
      <c r="BE510" s="77"/>
      <c r="BF510" s="77"/>
      <c r="BG510" s="77"/>
      <c r="BH510" s="77"/>
      <c r="BI510" s="77"/>
    </row>
    <row r="511" spans="1:61" x14ac:dyDescent="0.25">
      <c r="A511" s="62" t="s">
        <v>441</v>
      </c>
      <c r="B511" s="62" t="s">
        <v>441</v>
      </c>
      <c r="C511" s="63"/>
      <c r="D511" s="64"/>
      <c r="E511" s="65"/>
      <c r="F511" s="66"/>
      <c r="G511" s="63"/>
      <c r="H511" s="67"/>
      <c r="I511" s="68"/>
      <c r="J511" s="68"/>
      <c r="K511" s="32"/>
      <c r="L511" s="75">
        <v>511</v>
      </c>
      <c r="M511" s="75"/>
      <c r="N511" s="70"/>
      <c r="O511" s="77" t="s">
        <v>583</v>
      </c>
      <c r="P511" s="79">
        <v>44963.983900462961</v>
      </c>
      <c r="Q511" s="77" t="s">
        <v>1092</v>
      </c>
      <c r="R511" s="77">
        <v>0</v>
      </c>
      <c r="S511" s="77">
        <v>1</v>
      </c>
      <c r="T511" s="77">
        <v>0</v>
      </c>
      <c r="U511" s="77">
        <v>0</v>
      </c>
      <c r="V511" s="77">
        <v>10</v>
      </c>
      <c r="W511" s="82" t="s">
        <v>1888</v>
      </c>
      <c r="X511" s="77"/>
      <c r="Y511" s="77"/>
      <c r="Z511" s="77"/>
      <c r="AA511" s="77"/>
      <c r="AB511" s="77"/>
      <c r="AC511" s="82" t="s">
        <v>2720</v>
      </c>
      <c r="AD511" s="77" t="s">
        <v>2752</v>
      </c>
      <c r="AE511" s="80" t="str">
        <f>HYPERLINK("https://twitter.com/sejabimanager/status/1622741131011162115")</f>
        <v>https://twitter.com/sejabimanager/status/1622741131011162115</v>
      </c>
      <c r="AF511" s="79">
        <v>44963.983900462961</v>
      </c>
      <c r="AG511" s="85">
        <v>44963</v>
      </c>
      <c r="AH511" s="82" t="s">
        <v>3261</v>
      </c>
      <c r="AI511" s="77"/>
      <c r="AJ511" s="77"/>
      <c r="AK511" s="77"/>
      <c r="AL511" s="77"/>
      <c r="AM511" s="77"/>
      <c r="AN511" s="77"/>
      <c r="AO511" s="77"/>
      <c r="AP511" s="77"/>
      <c r="AQ511" s="77"/>
      <c r="AR511" s="77"/>
      <c r="AS511" s="77"/>
      <c r="AT511" s="77"/>
      <c r="AU511" s="77"/>
      <c r="AV511" s="80" t="str">
        <f>HYPERLINK("https://pbs.twimg.com/profile_images/1591127922856820760/MV5_ReqD_normal.jpg")</f>
        <v>https://pbs.twimg.com/profile_images/1591127922856820760/MV5_ReqD_normal.jpg</v>
      </c>
      <c r="AW511" s="82" t="s">
        <v>4844</v>
      </c>
      <c r="AX511" s="82" t="s">
        <v>5345</v>
      </c>
      <c r="AY511" s="82" t="s">
        <v>5598</v>
      </c>
      <c r="AZ511" s="82" t="s">
        <v>5345</v>
      </c>
      <c r="BA511" s="82" t="s">
        <v>5615</v>
      </c>
      <c r="BB511" s="82" t="s">
        <v>5615</v>
      </c>
      <c r="BC511" s="82" t="s">
        <v>5345</v>
      </c>
      <c r="BD511" s="82" t="s">
        <v>5598</v>
      </c>
      <c r="BE511" s="77"/>
      <c r="BF511" s="77"/>
      <c r="BG511" s="77"/>
      <c r="BH511" s="77"/>
      <c r="BI511" s="77"/>
    </row>
    <row r="512" spans="1:61" x14ac:dyDescent="0.25">
      <c r="A512" s="62" t="s">
        <v>441</v>
      </c>
      <c r="B512" s="62" t="s">
        <v>441</v>
      </c>
      <c r="C512" s="63"/>
      <c r="D512" s="64"/>
      <c r="E512" s="65"/>
      <c r="F512" s="66"/>
      <c r="G512" s="63"/>
      <c r="H512" s="67"/>
      <c r="I512" s="68"/>
      <c r="J512" s="68"/>
      <c r="K512" s="32"/>
      <c r="L512" s="75">
        <v>512</v>
      </c>
      <c r="M512" s="75"/>
      <c r="N512" s="70"/>
      <c r="O512" s="77" t="s">
        <v>583</v>
      </c>
      <c r="P512" s="79">
        <v>44954.007013888891</v>
      </c>
      <c r="Q512" s="77" t="s">
        <v>1093</v>
      </c>
      <c r="R512" s="77">
        <v>0</v>
      </c>
      <c r="S512" s="77">
        <v>1</v>
      </c>
      <c r="T512" s="77">
        <v>0</v>
      </c>
      <c r="U512" s="77">
        <v>0</v>
      </c>
      <c r="V512" s="77">
        <v>13</v>
      </c>
      <c r="W512" s="82" t="s">
        <v>1889</v>
      </c>
      <c r="X512" s="77"/>
      <c r="Y512" s="77"/>
      <c r="Z512" s="77"/>
      <c r="AA512" s="77"/>
      <c r="AB512" s="77"/>
      <c r="AC512" s="82" t="s">
        <v>2720</v>
      </c>
      <c r="AD512" s="77" t="s">
        <v>2752</v>
      </c>
      <c r="AE512" s="80" t="str">
        <f>HYPERLINK("https://twitter.com/sejabimanager/status/1619125628372156416")</f>
        <v>https://twitter.com/sejabimanager/status/1619125628372156416</v>
      </c>
      <c r="AF512" s="79">
        <v>44954.007013888891</v>
      </c>
      <c r="AG512" s="85">
        <v>44954</v>
      </c>
      <c r="AH512" s="82" t="s">
        <v>3262</v>
      </c>
      <c r="AI512" s="77"/>
      <c r="AJ512" s="77"/>
      <c r="AK512" s="77"/>
      <c r="AL512" s="77"/>
      <c r="AM512" s="77"/>
      <c r="AN512" s="77"/>
      <c r="AO512" s="77"/>
      <c r="AP512" s="77"/>
      <c r="AQ512" s="77"/>
      <c r="AR512" s="77"/>
      <c r="AS512" s="77"/>
      <c r="AT512" s="77"/>
      <c r="AU512" s="77"/>
      <c r="AV512" s="80" t="str">
        <f>HYPERLINK("https://pbs.twimg.com/profile_images/1591127922856820760/MV5_ReqD_normal.jpg")</f>
        <v>https://pbs.twimg.com/profile_images/1591127922856820760/MV5_ReqD_normal.jpg</v>
      </c>
      <c r="AW512" s="82" t="s">
        <v>4845</v>
      </c>
      <c r="AX512" s="82" t="s">
        <v>5346</v>
      </c>
      <c r="AY512" s="82" t="s">
        <v>5598</v>
      </c>
      <c r="AZ512" s="82" t="s">
        <v>5346</v>
      </c>
      <c r="BA512" s="82" t="s">
        <v>5615</v>
      </c>
      <c r="BB512" s="82" t="s">
        <v>5615</v>
      </c>
      <c r="BC512" s="82" t="s">
        <v>5346</v>
      </c>
      <c r="BD512" s="82" t="s">
        <v>5598</v>
      </c>
      <c r="BE512" s="77"/>
      <c r="BF512" s="77"/>
      <c r="BG512" s="77"/>
      <c r="BH512" s="77"/>
      <c r="BI512" s="77"/>
    </row>
    <row r="513" spans="1:61" x14ac:dyDescent="0.25">
      <c r="A513" s="62" t="s">
        <v>441</v>
      </c>
      <c r="B513" s="62" t="s">
        <v>441</v>
      </c>
      <c r="C513" s="63"/>
      <c r="D513" s="64"/>
      <c r="E513" s="65"/>
      <c r="F513" s="66"/>
      <c r="G513" s="63"/>
      <c r="H513" s="67"/>
      <c r="I513" s="68"/>
      <c r="J513" s="68"/>
      <c r="K513" s="32"/>
      <c r="L513" s="75">
        <v>513</v>
      </c>
      <c r="M513" s="75"/>
      <c r="N513" s="70"/>
      <c r="O513" s="77" t="s">
        <v>583</v>
      </c>
      <c r="P513" s="79">
        <v>44953.067569444444</v>
      </c>
      <c r="Q513" s="77" t="s">
        <v>1094</v>
      </c>
      <c r="R513" s="77">
        <v>0</v>
      </c>
      <c r="S513" s="77">
        <v>0</v>
      </c>
      <c r="T513" s="77">
        <v>0</v>
      </c>
      <c r="U513" s="77">
        <v>0</v>
      </c>
      <c r="V513" s="77">
        <v>24</v>
      </c>
      <c r="W513" s="82" t="s">
        <v>1890</v>
      </c>
      <c r="X513" s="77"/>
      <c r="Y513" s="77"/>
      <c r="Z513" s="77"/>
      <c r="AA513" s="77"/>
      <c r="AB513" s="77"/>
      <c r="AC513" s="82" t="s">
        <v>2720</v>
      </c>
      <c r="AD513" s="77" t="s">
        <v>2752</v>
      </c>
      <c r="AE513" s="80" t="str">
        <f>HYPERLINK("https://twitter.com/sejabimanager/status/1618785186975731717")</f>
        <v>https://twitter.com/sejabimanager/status/1618785186975731717</v>
      </c>
      <c r="AF513" s="79">
        <v>44953.067569444444</v>
      </c>
      <c r="AG513" s="85">
        <v>44953</v>
      </c>
      <c r="AH513" s="82" t="s">
        <v>3263</v>
      </c>
      <c r="AI513" s="77"/>
      <c r="AJ513" s="77"/>
      <c r="AK513" s="77"/>
      <c r="AL513" s="77"/>
      <c r="AM513" s="77"/>
      <c r="AN513" s="77"/>
      <c r="AO513" s="77"/>
      <c r="AP513" s="77"/>
      <c r="AQ513" s="77"/>
      <c r="AR513" s="77"/>
      <c r="AS513" s="77"/>
      <c r="AT513" s="77"/>
      <c r="AU513" s="77"/>
      <c r="AV513" s="80" t="str">
        <f>HYPERLINK("https://pbs.twimg.com/profile_images/1591127922856820760/MV5_ReqD_normal.jpg")</f>
        <v>https://pbs.twimg.com/profile_images/1591127922856820760/MV5_ReqD_normal.jpg</v>
      </c>
      <c r="AW513" s="82" t="s">
        <v>4846</v>
      </c>
      <c r="AX513" s="82" t="s">
        <v>5347</v>
      </c>
      <c r="AY513" s="82" t="s">
        <v>5598</v>
      </c>
      <c r="AZ513" s="82" t="s">
        <v>5347</v>
      </c>
      <c r="BA513" s="82" t="s">
        <v>5615</v>
      </c>
      <c r="BB513" s="82" t="s">
        <v>5615</v>
      </c>
      <c r="BC513" s="82" t="s">
        <v>5347</v>
      </c>
      <c r="BD513" s="82" t="s">
        <v>5598</v>
      </c>
      <c r="BE513" s="77"/>
      <c r="BF513" s="77"/>
      <c r="BG513" s="77"/>
      <c r="BH513" s="77"/>
      <c r="BI513" s="77"/>
    </row>
    <row r="514" spans="1:61" x14ac:dyDescent="0.25">
      <c r="A514" s="62" t="s">
        <v>442</v>
      </c>
      <c r="B514" s="62" t="s">
        <v>442</v>
      </c>
      <c r="C514" s="63"/>
      <c r="D514" s="64"/>
      <c r="E514" s="65"/>
      <c r="F514" s="66"/>
      <c r="G514" s="63"/>
      <c r="H514" s="67"/>
      <c r="I514" s="68"/>
      <c r="J514" s="68"/>
      <c r="K514" s="32"/>
      <c r="L514" s="75">
        <v>514</v>
      </c>
      <c r="M514" s="75"/>
      <c r="N514" s="70"/>
      <c r="O514" s="77" t="s">
        <v>179</v>
      </c>
      <c r="P514" s="79">
        <v>45106.607731481483</v>
      </c>
      <c r="Q514" s="77" t="s">
        <v>1095</v>
      </c>
      <c r="R514" s="77">
        <v>0</v>
      </c>
      <c r="S514" s="77">
        <v>2</v>
      </c>
      <c r="T514" s="77">
        <v>1</v>
      </c>
      <c r="U514" s="77">
        <v>0</v>
      </c>
      <c r="V514" s="77">
        <v>57</v>
      </c>
      <c r="W514" s="82" t="s">
        <v>1891</v>
      </c>
      <c r="X514" s="80" t="str">
        <f>HYPERLINK("https://linktr.ee/detraderpratrader")</f>
        <v>https://linktr.ee/detraderpratrader</v>
      </c>
      <c r="Y514" s="77" t="s">
        <v>2164</v>
      </c>
      <c r="Z514" s="77"/>
      <c r="AA514" s="77" t="s">
        <v>2536</v>
      </c>
      <c r="AB514" s="77" t="s">
        <v>2713</v>
      </c>
      <c r="AC514" s="82" t="s">
        <v>2722</v>
      </c>
      <c r="AD514" s="77" t="s">
        <v>2752</v>
      </c>
      <c r="AE514" s="80" t="str">
        <f>HYPERLINK("https://twitter.com/traiderptraider/status/1674426278462779392")</f>
        <v>https://twitter.com/traiderptraider/status/1674426278462779392</v>
      </c>
      <c r="AF514" s="79">
        <v>45106.607731481483</v>
      </c>
      <c r="AG514" s="85">
        <v>45106</v>
      </c>
      <c r="AH514" s="82" t="s">
        <v>3264</v>
      </c>
      <c r="AI514" s="77" t="b">
        <v>0</v>
      </c>
      <c r="AJ514" s="77"/>
      <c r="AK514" s="77"/>
      <c r="AL514" s="77"/>
      <c r="AM514" s="77"/>
      <c r="AN514" s="77"/>
      <c r="AO514" s="77"/>
      <c r="AP514" s="77"/>
      <c r="AQ514" s="77" t="s">
        <v>4162</v>
      </c>
      <c r="AR514" s="77">
        <v>87066</v>
      </c>
      <c r="AS514" s="77"/>
      <c r="AT514" s="77"/>
      <c r="AU514" s="77"/>
      <c r="AV514" s="80" t="str">
        <f>HYPERLINK("https://pbs.twimg.com/ext_tw_video_thumb/1674425795568365571/pu/img/21huInSRuskL0MUl.jpg")</f>
        <v>https://pbs.twimg.com/ext_tw_video_thumb/1674425795568365571/pu/img/21huInSRuskL0MUl.jpg</v>
      </c>
      <c r="AW514" s="82" t="s">
        <v>4847</v>
      </c>
      <c r="AX514" s="82" t="s">
        <v>4847</v>
      </c>
      <c r="AY514" s="77"/>
      <c r="AZ514" s="82" t="s">
        <v>5615</v>
      </c>
      <c r="BA514" s="82" t="s">
        <v>5615</v>
      </c>
      <c r="BB514" s="82" t="s">
        <v>5615</v>
      </c>
      <c r="BC514" s="82" t="s">
        <v>4847</v>
      </c>
      <c r="BD514" s="82" t="s">
        <v>6013</v>
      </c>
      <c r="BE514" s="77"/>
      <c r="BF514" s="77"/>
      <c r="BG514" s="77"/>
      <c r="BH514" s="77"/>
      <c r="BI514" s="77"/>
    </row>
    <row r="515" spans="1:61" x14ac:dyDescent="0.25">
      <c r="A515" s="62" t="s">
        <v>443</v>
      </c>
      <c r="B515" s="62" t="s">
        <v>443</v>
      </c>
      <c r="C515" s="63"/>
      <c r="D515" s="64"/>
      <c r="E515" s="65"/>
      <c r="F515" s="66"/>
      <c r="G515" s="63"/>
      <c r="H515" s="67"/>
      <c r="I515" s="68"/>
      <c r="J515" s="68"/>
      <c r="K515" s="32"/>
      <c r="L515" s="75">
        <v>515</v>
      </c>
      <c r="M515" s="75"/>
      <c r="N515" s="70"/>
      <c r="O515" s="77" t="s">
        <v>583</v>
      </c>
      <c r="P515" s="79">
        <v>45067.509756944448</v>
      </c>
      <c r="Q515" s="77" t="s">
        <v>1096</v>
      </c>
      <c r="R515" s="77">
        <v>0</v>
      </c>
      <c r="S515" s="77">
        <v>0</v>
      </c>
      <c r="T515" s="77">
        <v>0</v>
      </c>
      <c r="U515" s="77">
        <v>0</v>
      </c>
      <c r="V515" s="77">
        <v>4</v>
      </c>
      <c r="W515" s="82" t="s">
        <v>1892</v>
      </c>
      <c r="X515" s="77"/>
      <c r="Y515" s="77"/>
      <c r="Z515" s="77"/>
      <c r="AA515" s="77"/>
      <c r="AB515" s="77"/>
      <c r="AC515" s="82" t="s">
        <v>2720</v>
      </c>
      <c r="AD515" s="77" t="s">
        <v>2756</v>
      </c>
      <c r="AE515" s="80" t="str">
        <f>HYPERLINK("https://twitter.com/ataorienta/status/1660257647621185542")</f>
        <v>https://twitter.com/ataorienta/status/1660257647621185542</v>
      </c>
      <c r="AF515" s="79">
        <v>45067.509756944448</v>
      </c>
      <c r="AG515" s="85">
        <v>45067</v>
      </c>
      <c r="AH515" s="82" t="s">
        <v>3265</v>
      </c>
      <c r="AI515" s="77"/>
      <c r="AJ515" s="77"/>
      <c r="AK515" s="77"/>
      <c r="AL515" s="77"/>
      <c r="AM515" s="77"/>
      <c r="AN515" s="77"/>
      <c r="AO515" s="77"/>
      <c r="AP515" s="77"/>
      <c r="AQ515" s="77"/>
      <c r="AR515" s="77"/>
      <c r="AS515" s="77"/>
      <c r="AT515" s="77"/>
      <c r="AU515" s="77"/>
      <c r="AV515" s="80" t="str">
        <f>HYPERLINK("https://pbs.twimg.com/profile_images/1693679843404062720/q3ecO34__normal.png")</f>
        <v>https://pbs.twimg.com/profile_images/1693679843404062720/q3ecO34__normal.png</v>
      </c>
      <c r="AW515" s="82" t="s">
        <v>4848</v>
      </c>
      <c r="AX515" s="82" t="s">
        <v>5348</v>
      </c>
      <c r="AY515" s="82" t="s">
        <v>5599</v>
      </c>
      <c r="AZ515" s="82" t="s">
        <v>5632</v>
      </c>
      <c r="BA515" s="82" t="s">
        <v>5615</v>
      </c>
      <c r="BB515" s="82" t="s">
        <v>5615</v>
      </c>
      <c r="BC515" s="82" t="s">
        <v>5632</v>
      </c>
      <c r="BD515" s="82" t="s">
        <v>5599</v>
      </c>
      <c r="BE515" s="77"/>
      <c r="BF515" s="77"/>
      <c r="BG515" s="77"/>
      <c r="BH515" s="77"/>
      <c r="BI515" s="77"/>
    </row>
    <row r="516" spans="1:61" x14ac:dyDescent="0.25">
      <c r="A516" s="62" t="s">
        <v>443</v>
      </c>
      <c r="B516" s="62" t="s">
        <v>443</v>
      </c>
      <c r="C516" s="63"/>
      <c r="D516" s="64"/>
      <c r="E516" s="65"/>
      <c r="F516" s="66"/>
      <c r="G516" s="63"/>
      <c r="H516" s="67"/>
      <c r="I516" s="68"/>
      <c r="J516" s="68"/>
      <c r="K516" s="32"/>
      <c r="L516" s="75">
        <v>516</v>
      </c>
      <c r="M516" s="75"/>
      <c r="N516" s="70"/>
      <c r="O516" s="77" t="s">
        <v>583</v>
      </c>
      <c r="P516" s="79">
        <v>45050.572905092595</v>
      </c>
      <c r="Q516" s="77" t="s">
        <v>1097</v>
      </c>
      <c r="R516" s="77">
        <v>0</v>
      </c>
      <c r="S516" s="77">
        <v>0</v>
      </c>
      <c r="T516" s="77">
        <v>0</v>
      </c>
      <c r="U516" s="77">
        <v>0</v>
      </c>
      <c r="V516" s="77">
        <v>9</v>
      </c>
      <c r="W516" s="82" t="s">
        <v>1893</v>
      </c>
      <c r="X516" s="77"/>
      <c r="Y516" s="77"/>
      <c r="Z516" s="77"/>
      <c r="AA516" s="77"/>
      <c r="AB516" s="77"/>
      <c r="AC516" s="82" t="s">
        <v>2720</v>
      </c>
      <c r="AD516" s="77" t="s">
        <v>2756</v>
      </c>
      <c r="AE516" s="80" t="str">
        <f>HYPERLINK("https://twitter.com/ataorienta/status/1654119935659102210")</f>
        <v>https://twitter.com/ataorienta/status/1654119935659102210</v>
      </c>
      <c r="AF516" s="79">
        <v>45050.572905092595</v>
      </c>
      <c r="AG516" s="85">
        <v>45050</v>
      </c>
      <c r="AH516" s="82" t="s">
        <v>3266</v>
      </c>
      <c r="AI516" s="77"/>
      <c r="AJ516" s="77"/>
      <c r="AK516" s="77"/>
      <c r="AL516" s="77"/>
      <c r="AM516" s="77"/>
      <c r="AN516" s="77"/>
      <c r="AO516" s="77"/>
      <c r="AP516" s="77"/>
      <c r="AQ516" s="77"/>
      <c r="AR516" s="77"/>
      <c r="AS516" s="77"/>
      <c r="AT516" s="77"/>
      <c r="AU516" s="77"/>
      <c r="AV516" s="80" t="str">
        <f>HYPERLINK("https://pbs.twimg.com/profile_images/1693679843404062720/q3ecO34__normal.png")</f>
        <v>https://pbs.twimg.com/profile_images/1693679843404062720/q3ecO34__normal.png</v>
      </c>
      <c r="AW516" s="82" t="s">
        <v>4849</v>
      </c>
      <c r="AX516" s="82" t="s">
        <v>5349</v>
      </c>
      <c r="AY516" s="82" t="s">
        <v>5599</v>
      </c>
      <c r="AZ516" s="82" t="s">
        <v>5633</v>
      </c>
      <c r="BA516" s="82" t="s">
        <v>5615</v>
      </c>
      <c r="BB516" s="82" t="s">
        <v>5615</v>
      </c>
      <c r="BC516" s="82" t="s">
        <v>5633</v>
      </c>
      <c r="BD516" s="82" t="s">
        <v>5599</v>
      </c>
      <c r="BE516" s="77"/>
      <c r="BF516" s="77"/>
      <c r="BG516" s="77"/>
      <c r="BH516" s="77"/>
      <c r="BI516" s="77"/>
    </row>
    <row r="517" spans="1:61" x14ac:dyDescent="0.25">
      <c r="A517" s="62" t="s">
        <v>443</v>
      </c>
      <c r="B517" s="62" t="s">
        <v>443</v>
      </c>
      <c r="C517" s="63"/>
      <c r="D517" s="64"/>
      <c r="E517" s="65"/>
      <c r="F517" s="66"/>
      <c r="G517" s="63"/>
      <c r="H517" s="67"/>
      <c r="I517" s="68"/>
      <c r="J517" s="68"/>
      <c r="K517" s="32"/>
      <c r="L517" s="75">
        <v>517</v>
      </c>
      <c r="M517" s="75"/>
      <c r="N517" s="70"/>
      <c r="O517" s="77" t="s">
        <v>583</v>
      </c>
      <c r="P517" s="79">
        <v>45049.762696759259</v>
      </c>
      <c r="Q517" s="77" t="s">
        <v>1097</v>
      </c>
      <c r="R517" s="77">
        <v>0</v>
      </c>
      <c r="S517" s="77">
        <v>0</v>
      </c>
      <c r="T517" s="77">
        <v>0</v>
      </c>
      <c r="U517" s="77">
        <v>0</v>
      </c>
      <c r="V517" s="77">
        <v>2</v>
      </c>
      <c r="W517" s="82" t="s">
        <v>1893</v>
      </c>
      <c r="X517" s="77"/>
      <c r="Y517" s="77"/>
      <c r="Z517" s="77"/>
      <c r="AA517" s="77"/>
      <c r="AB517" s="77"/>
      <c r="AC517" s="82" t="s">
        <v>2720</v>
      </c>
      <c r="AD517" s="77" t="s">
        <v>2756</v>
      </c>
      <c r="AE517" s="80" t="str">
        <f>HYPERLINK("https://twitter.com/ataorienta/status/1653826327437254660")</f>
        <v>https://twitter.com/ataorienta/status/1653826327437254660</v>
      </c>
      <c r="AF517" s="79">
        <v>45049.762696759259</v>
      </c>
      <c r="AG517" s="85">
        <v>45049</v>
      </c>
      <c r="AH517" s="82" t="s">
        <v>3267</v>
      </c>
      <c r="AI517" s="77"/>
      <c r="AJ517" s="77"/>
      <c r="AK517" s="77"/>
      <c r="AL517" s="77"/>
      <c r="AM517" s="77"/>
      <c r="AN517" s="77"/>
      <c r="AO517" s="77"/>
      <c r="AP517" s="77"/>
      <c r="AQ517" s="77"/>
      <c r="AR517" s="77"/>
      <c r="AS517" s="77"/>
      <c r="AT517" s="77"/>
      <c r="AU517" s="77"/>
      <c r="AV517" s="80" t="str">
        <f>HYPERLINK("https://pbs.twimg.com/profile_images/1693679843404062720/q3ecO34__normal.png")</f>
        <v>https://pbs.twimg.com/profile_images/1693679843404062720/q3ecO34__normal.png</v>
      </c>
      <c r="AW517" s="82" t="s">
        <v>4850</v>
      </c>
      <c r="AX517" s="82" t="s">
        <v>5350</v>
      </c>
      <c r="AY517" s="82" t="s">
        <v>5599</v>
      </c>
      <c r="AZ517" s="82" t="s">
        <v>5634</v>
      </c>
      <c r="BA517" s="82" t="s">
        <v>5615</v>
      </c>
      <c r="BB517" s="82" t="s">
        <v>5615</v>
      </c>
      <c r="BC517" s="82" t="s">
        <v>5634</v>
      </c>
      <c r="BD517" s="82" t="s">
        <v>5599</v>
      </c>
      <c r="BE517" s="77"/>
      <c r="BF517" s="77"/>
      <c r="BG517" s="77"/>
      <c r="BH517" s="77"/>
      <c r="BI517" s="77"/>
    </row>
    <row r="518" spans="1:61" x14ac:dyDescent="0.25">
      <c r="A518" s="62" t="s">
        <v>443</v>
      </c>
      <c r="B518" s="62" t="s">
        <v>443</v>
      </c>
      <c r="C518" s="63"/>
      <c r="D518" s="64"/>
      <c r="E518" s="65"/>
      <c r="F518" s="66"/>
      <c r="G518" s="63"/>
      <c r="H518" s="67"/>
      <c r="I518" s="68"/>
      <c r="J518" s="68"/>
      <c r="K518" s="32"/>
      <c r="L518" s="75">
        <v>518</v>
      </c>
      <c r="M518" s="75"/>
      <c r="N518" s="70"/>
      <c r="O518" s="77" t="s">
        <v>583</v>
      </c>
      <c r="P518" s="79">
        <v>45048.507430555554</v>
      </c>
      <c r="Q518" s="77" t="s">
        <v>1097</v>
      </c>
      <c r="R518" s="77">
        <v>0</v>
      </c>
      <c r="S518" s="77">
        <v>0</v>
      </c>
      <c r="T518" s="77">
        <v>0</v>
      </c>
      <c r="U518" s="77">
        <v>0</v>
      </c>
      <c r="V518" s="77">
        <v>3</v>
      </c>
      <c r="W518" s="82" t="s">
        <v>1893</v>
      </c>
      <c r="X518" s="77"/>
      <c r="Y518" s="77"/>
      <c r="Z518" s="77"/>
      <c r="AA518" s="77"/>
      <c r="AB518" s="77"/>
      <c r="AC518" s="82" t="s">
        <v>2720</v>
      </c>
      <c r="AD518" s="77" t="s">
        <v>2756</v>
      </c>
      <c r="AE518" s="80" t="str">
        <f>HYPERLINK("https://twitter.com/ataorienta/status/1653371432171085828")</f>
        <v>https://twitter.com/ataorienta/status/1653371432171085828</v>
      </c>
      <c r="AF518" s="79">
        <v>45048.507430555554</v>
      </c>
      <c r="AG518" s="85">
        <v>45048</v>
      </c>
      <c r="AH518" s="82" t="s">
        <v>3268</v>
      </c>
      <c r="AI518" s="77"/>
      <c r="AJ518" s="77"/>
      <c r="AK518" s="77"/>
      <c r="AL518" s="77"/>
      <c r="AM518" s="77"/>
      <c r="AN518" s="77"/>
      <c r="AO518" s="77"/>
      <c r="AP518" s="77"/>
      <c r="AQ518" s="77"/>
      <c r="AR518" s="77"/>
      <c r="AS518" s="77"/>
      <c r="AT518" s="77"/>
      <c r="AU518" s="77"/>
      <c r="AV518" s="80" t="str">
        <f>HYPERLINK("https://pbs.twimg.com/profile_images/1693679843404062720/q3ecO34__normal.png")</f>
        <v>https://pbs.twimg.com/profile_images/1693679843404062720/q3ecO34__normal.png</v>
      </c>
      <c r="AW518" s="82" t="s">
        <v>4851</v>
      </c>
      <c r="AX518" s="82" t="s">
        <v>5351</v>
      </c>
      <c r="AY518" s="82" t="s">
        <v>5599</v>
      </c>
      <c r="AZ518" s="82" t="s">
        <v>5635</v>
      </c>
      <c r="BA518" s="82" t="s">
        <v>5615</v>
      </c>
      <c r="BB518" s="82" t="s">
        <v>5615</v>
      </c>
      <c r="BC518" s="82" t="s">
        <v>5635</v>
      </c>
      <c r="BD518" s="82" t="s">
        <v>5599</v>
      </c>
      <c r="BE518" s="77"/>
      <c r="BF518" s="77"/>
      <c r="BG518" s="77"/>
      <c r="BH518" s="77"/>
      <c r="BI518" s="77"/>
    </row>
    <row r="519" spans="1:61" x14ac:dyDescent="0.25">
      <c r="A519" s="62" t="s">
        <v>443</v>
      </c>
      <c r="B519" s="62" t="s">
        <v>443</v>
      </c>
      <c r="C519" s="63"/>
      <c r="D519" s="64"/>
      <c r="E519" s="65"/>
      <c r="F519" s="66"/>
      <c r="G519" s="63"/>
      <c r="H519" s="67"/>
      <c r="I519" s="68"/>
      <c r="J519" s="68"/>
      <c r="K519" s="32"/>
      <c r="L519" s="75">
        <v>519</v>
      </c>
      <c r="M519" s="75"/>
      <c r="N519" s="70"/>
      <c r="O519" s="77" t="s">
        <v>583</v>
      </c>
      <c r="P519" s="79">
        <v>45048.005995370368</v>
      </c>
      <c r="Q519" s="77" t="s">
        <v>1098</v>
      </c>
      <c r="R519" s="77">
        <v>0</v>
      </c>
      <c r="S519" s="77">
        <v>0</v>
      </c>
      <c r="T519" s="77">
        <v>0</v>
      </c>
      <c r="U519" s="77">
        <v>0</v>
      </c>
      <c r="V519" s="77">
        <v>16</v>
      </c>
      <c r="W519" s="82" t="s">
        <v>1894</v>
      </c>
      <c r="X519" s="77"/>
      <c r="Y519" s="77"/>
      <c r="Z519" s="77"/>
      <c r="AA519" s="77"/>
      <c r="AB519" s="77"/>
      <c r="AC519" s="82" t="s">
        <v>2720</v>
      </c>
      <c r="AD519" s="77" t="s">
        <v>2756</v>
      </c>
      <c r="AE519" s="80" t="str">
        <f>HYPERLINK("https://twitter.com/ataorienta/status/1653189718769541127")</f>
        <v>https://twitter.com/ataorienta/status/1653189718769541127</v>
      </c>
      <c r="AF519" s="79">
        <v>45048.005995370368</v>
      </c>
      <c r="AG519" s="85">
        <v>45048</v>
      </c>
      <c r="AH519" s="82" t="s">
        <v>3269</v>
      </c>
      <c r="AI519" s="77"/>
      <c r="AJ519" s="77"/>
      <c r="AK519" s="77"/>
      <c r="AL519" s="77"/>
      <c r="AM519" s="77"/>
      <c r="AN519" s="77"/>
      <c r="AO519" s="77"/>
      <c r="AP519" s="77"/>
      <c r="AQ519" s="77"/>
      <c r="AR519" s="77"/>
      <c r="AS519" s="77"/>
      <c r="AT519" s="77"/>
      <c r="AU519" s="77"/>
      <c r="AV519" s="80" t="str">
        <f>HYPERLINK("https://pbs.twimg.com/profile_images/1693679843404062720/q3ecO34__normal.png")</f>
        <v>https://pbs.twimg.com/profile_images/1693679843404062720/q3ecO34__normal.png</v>
      </c>
      <c r="AW519" s="82" t="s">
        <v>4852</v>
      </c>
      <c r="AX519" s="82" t="s">
        <v>5352</v>
      </c>
      <c r="AY519" s="82" t="s">
        <v>5599</v>
      </c>
      <c r="AZ519" s="82" t="s">
        <v>5636</v>
      </c>
      <c r="BA519" s="82" t="s">
        <v>5615</v>
      </c>
      <c r="BB519" s="82" t="s">
        <v>5615</v>
      </c>
      <c r="BC519" s="82" t="s">
        <v>5636</v>
      </c>
      <c r="BD519" s="82" t="s">
        <v>5599</v>
      </c>
      <c r="BE519" s="77"/>
      <c r="BF519" s="77"/>
      <c r="BG519" s="77"/>
      <c r="BH519" s="77"/>
      <c r="BI519" s="77"/>
    </row>
    <row r="520" spans="1:61" x14ac:dyDescent="0.25">
      <c r="A520" s="62" t="s">
        <v>443</v>
      </c>
      <c r="B520" s="62" t="s">
        <v>443</v>
      </c>
      <c r="C520" s="63"/>
      <c r="D520" s="64"/>
      <c r="E520" s="65"/>
      <c r="F520" s="66"/>
      <c r="G520" s="63"/>
      <c r="H520" s="67"/>
      <c r="I520" s="68"/>
      <c r="J520" s="68"/>
      <c r="K520" s="32"/>
      <c r="L520" s="75">
        <v>520</v>
      </c>
      <c r="M520" s="75"/>
      <c r="N520" s="70"/>
      <c r="O520" s="77" t="s">
        <v>583</v>
      </c>
      <c r="P520" s="79">
        <v>45137.493657407409</v>
      </c>
      <c r="Q520" s="77" t="s">
        <v>1099</v>
      </c>
      <c r="R520" s="77">
        <v>0</v>
      </c>
      <c r="S520" s="77">
        <v>0</v>
      </c>
      <c r="T520" s="77">
        <v>0</v>
      </c>
      <c r="U520" s="77">
        <v>0</v>
      </c>
      <c r="V520" s="77">
        <v>10</v>
      </c>
      <c r="W520" s="82" t="s">
        <v>1895</v>
      </c>
      <c r="X520" s="77"/>
      <c r="Y520" s="77"/>
      <c r="Z520" s="77"/>
      <c r="AA520" s="77"/>
      <c r="AB520" s="77"/>
      <c r="AC520" s="82" t="s">
        <v>2720</v>
      </c>
      <c r="AD520" s="77" t="s">
        <v>2756</v>
      </c>
      <c r="AE520" s="80" t="str">
        <f>HYPERLINK("https://twitter.com/ataorienta/status/1685618963382718464")</f>
        <v>https://twitter.com/ataorienta/status/1685618963382718464</v>
      </c>
      <c r="AF520" s="79">
        <v>45137.493657407409</v>
      </c>
      <c r="AG520" s="85">
        <v>45137</v>
      </c>
      <c r="AH520" s="82" t="s">
        <v>3270</v>
      </c>
      <c r="AI520" s="77"/>
      <c r="AJ520" s="77"/>
      <c r="AK520" s="77"/>
      <c r="AL520" s="77"/>
      <c r="AM520" s="77"/>
      <c r="AN520" s="77"/>
      <c r="AO520" s="77"/>
      <c r="AP520" s="77"/>
      <c r="AQ520" s="77"/>
      <c r="AR520" s="77"/>
      <c r="AS520" s="77"/>
      <c r="AT520" s="77"/>
      <c r="AU520" s="77"/>
      <c r="AV520" s="80" t="str">
        <f>HYPERLINK("https://pbs.twimg.com/profile_images/1693679843404062720/q3ecO34__normal.png")</f>
        <v>https://pbs.twimg.com/profile_images/1693679843404062720/q3ecO34__normal.png</v>
      </c>
      <c r="AW520" s="82" t="s">
        <v>4853</v>
      </c>
      <c r="AX520" s="82" t="s">
        <v>5353</v>
      </c>
      <c r="AY520" s="82" t="s">
        <v>5599</v>
      </c>
      <c r="AZ520" s="82" t="s">
        <v>5637</v>
      </c>
      <c r="BA520" s="82" t="s">
        <v>5615</v>
      </c>
      <c r="BB520" s="82" t="s">
        <v>5615</v>
      </c>
      <c r="BC520" s="82" t="s">
        <v>5637</v>
      </c>
      <c r="BD520" s="82" t="s">
        <v>5599</v>
      </c>
      <c r="BE520" s="77"/>
      <c r="BF520" s="77"/>
      <c r="BG520" s="77"/>
      <c r="BH520" s="77"/>
      <c r="BI520" s="77"/>
    </row>
    <row r="521" spans="1:61" x14ac:dyDescent="0.25">
      <c r="A521" s="62" t="s">
        <v>443</v>
      </c>
      <c r="B521" s="62" t="s">
        <v>443</v>
      </c>
      <c r="C521" s="63"/>
      <c r="D521" s="64"/>
      <c r="E521" s="65"/>
      <c r="F521" s="66"/>
      <c r="G521" s="63"/>
      <c r="H521" s="67"/>
      <c r="I521" s="68"/>
      <c r="J521" s="68"/>
      <c r="K521" s="32"/>
      <c r="L521" s="75">
        <v>521</v>
      </c>
      <c r="M521" s="75"/>
      <c r="N521" s="70"/>
      <c r="O521" s="77" t="s">
        <v>583</v>
      </c>
      <c r="P521" s="79">
        <v>45130.508402777778</v>
      </c>
      <c r="Q521" s="77" t="s">
        <v>1098</v>
      </c>
      <c r="R521" s="77">
        <v>0</v>
      </c>
      <c r="S521" s="77">
        <v>0</v>
      </c>
      <c r="T521" s="77">
        <v>0</v>
      </c>
      <c r="U521" s="77">
        <v>0</v>
      </c>
      <c r="V521" s="77">
        <v>16</v>
      </c>
      <c r="W521" s="82" t="s">
        <v>1894</v>
      </c>
      <c r="X521" s="77"/>
      <c r="Y521" s="77"/>
      <c r="Z521" s="77"/>
      <c r="AA521" s="77"/>
      <c r="AB521" s="77"/>
      <c r="AC521" s="82" t="s">
        <v>2720</v>
      </c>
      <c r="AD521" s="77" t="s">
        <v>2756</v>
      </c>
      <c r="AE521" s="80" t="str">
        <f>HYPERLINK("https://twitter.com/ataorienta/status/1683087589425774593")</f>
        <v>https://twitter.com/ataorienta/status/1683087589425774593</v>
      </c>
      <c r="AF521" s="79">
        <v>45130.508402777778</v>
      </c>
      <c r="AG521" s="85">
        <v>45130</v>
      </c>
      <c r="AH521" s="82" t="s">
        <v>3271</v>
      </c>
      <c r="AI521" s="77"/>
      <c r="AJ521" s="77"/>
      <c r="AK521" s="77"/>
      <c r="AL521" s="77"/>
      <c r="AM521" s="77"/>
      <c r="AN521" s="77"/>
      <c r="AO521" s="77"/>
      <c r="AP521" s="77"/>
      <c r="AQ521" s="77"/>
      <c r="AR521" s="77"/>
      <c r="AS521" s="77"/>
      <c r="AT521" s="77"/>
      <c r="AU521" s="77"/>
      <c r="AV521" s="80" t="str">
        <f>HYPERLINK("https://pbs.twimg.com/profile_images/1693679843404062720/q3ecO34__normal.png")</f>
        <v>https://pbs.twimg.com/profile_images/1693679843404062720/q3ecO34__normal.png</v>
      </c>
      <c r="AW521" s="82" t="s">
        <v>4854</v>
      </c>
      <c r="AX521" s="82" t="s">
        <v>5354</v>
      </c>
      <c r="AY521" s="82" t="s">
        <v>5599</v>
      </c>
      <c r="AZ521" s="82" t="s">
        <v>5638</v>
      </c>
      <c r="BA521" s="82" t="s">
        <v>5615</v>
      </c>
      <c r="BB521" s="82" t="s">
        <v>5615</v>
      </c>
      <c r="BC521" s="82" t="s">
        <v>5638</v>
      </c>
      <c r="BD521" s="82" t="s">
        <v>5599</v>
      </c>
      <c r="BE521" s="77"/>
      <c r="BF521" s="77"/>
      <c r="BG521" s="77"/>
      <c r="BH521" s="77"/>
      <c r="BI521" s="77"/>
    </row>
    <row r="522" spans="1:61" x14ac:dyDescent="0.25">
      <c r="A522" s="62" t="s">
        <v>443</v>
      </c>
      <c r="B522" s="62" t="s">
        <v>443</v>
      </c>
      <c r="C522" s="63"/>
      <c r="D522" s="64"/>
      <c r="E522" s="65"/>
      <c r="F522" s="66"/>
      <c r="G522" s="63"/>
      <c r="H522" s="67"/>
      <c r="I522" s="68"/>
      <c r="J522" s="68"/>
      <c r="K522" s="32"/>
      <c r="L522" s="75">
        <v>522</v>
      </c>
      <c r="M522" s="75"/>
      <c r="N522" s="70"/>
      <c r="O522" s="77" t="s">
        <v>583</v>
      </c>
      <c r="P522" s="79">
        <v>45115.486168981479</v>
      </c>
      <c r="Q522" s="77" t="s">
        <v>1096</v>
      </c>
      <c r="R522" s="77">
        <v>0</v>
      </c>
      <c r="S522" s="77">
        <v>0</v>
      </c>
      <c r="T522" s="77">
        <v>0</v>
      </c>
      <c r="U522" s="77">
        <v>0</v>
      </c>
      <c r="V522" s="77">
        <v>8</v>
      </c>
      <c r="W522" s="82" t="s">
        <v>1892</v>
      </c>
      <c r="X522" s="77"/>
      <c r="Y522" s="77"/>
      <c r="Z522" s="77"/>
      <c r="AA522" s="77"/>
      <c r="AB522" s="77"/>
      <c r="AC522" s="82" t="s">
        <v>2720</v>
      </c>
      <c r="AD522" s="77" t="s">
        <v>2756</v>
      </c>
      <c r="AE522" s="80" t="str">
        <f>HYPERLINK("https://twitter.com/ataorienta/status/1677643716670939136")</f>
        <v>https://twitter.com/ataorienta/status/1677643716670939136</v>
      </c>
      <c r="AF522" s="79">
        <v>45115.486168981479</v>
      </c>
      <c r="AG522" s="85">
        <v>45115</v>
      </c>
      <c r="AH522" s="82" t="s">
        <v>3272</v>
      </c>
      <c r="AI522" s="77"/>
      <c r="AJ522" s="77"/>
      <c r="AK522" s="77"/>
      <c r="AL522" s="77"/>
      <c r="AM522" s="77"/>
      <c r="AN522" s="77"/>
      <c r="AO522" s="77"/>
      <c r="AP522" s="77"/>
      <c r="AQ522" s="77"/>
      <c r="AR522" s="77"/>
      <c r="AS522" s="77"/>
      <c r="AT522" s="77"/>
      <c r="AU522" s="77"/>
      <c r="AV522" s="80" t="str">
        <f>HYPERLINK("https://pbs.twimg.com/profile_images/1693679843404062720/q3ecO34__normal.png")</f>
        <v>https://pbs.twimg.com/profile_images/1693679843404062720/q3ecO34__normal.png</v>
      </c>
      <c r="AW522" s="82" t="s">
        <v>4855</v>
      </c>
      <c r="AX522" s="82" t="s">
        <v>5355</v>
      </c>
      <c r="AY522" s="82" t="s">
        <v>5599</v>
      </c>
      <c r="AZ522" s="82" t="s">
        <v>5639</v>
      </c>
      <c r="BA522" s="82" t="s">
        <v>5615</v>
      </c>
      <c r="BB522" s="82" t="s">
        <v>5615</v>
      </c>
      <c r="BC522" s="82" t="s">
        <v>5639</v>
      </c>
      <c r="BD522" s="82" t="s">
        <v>5599</v>
      </c>
      <c r="BE522" s="77"/>
      <c r="BF522" s="77"/>
      <c r="BG522" s="77"/>
      <c r="BH522" s="77"/>
      <c r="BI522" s="77"/>
    </row>
    <row r="523" spans="1:61" x14ac:dyDescent="0.25">
      <c r="A523" s="62" t="s">
        <v>443</v>
      </c>
      <c r="B523" s="62" t="s">
        <v>443</v>
      </c>
      <c r="C523" s="63"/>
      <c r="D523" s="64"/>
      <c r="E523" s="65"/>
      <c r="F523" s="66"/>
      <c r="G523" s="63"/>
      <c r="H523" s="67"/>
      <c r="I523" s="68"/>
      <c r="J523" s="68"/>
      <c r="K523" s="32"/>
      <c r="L523" s="75">
        <v>523</v>
      </c>
      <c r="M523" s="75"/>
      <c r="N523" s="70"/>
      <c r="O523" s="77" t="s">
        <v>583</v>
      </c>
      <c r="P523" s="79">
        <v>45114.465208333335</v>
      </c>
      <c r="Q523" s="77" t="s">
        <v>1100</v>
      </c>
      <c r="R523" s="77">
        <v>0</v>
      </c>
      <c r="S523" s="77">
        <v>0</v>
      </c>
      <c r="T523" s="77">
        <v>0</v>
      </c>
      <c r="U523" s="77">
        <v>0</v>
      </c>
      <c r="V523" s="77">
        <v>14</v>
      </c>
      <c r="W523" s="82" t="s">
        <v>1896</v>
      </c>
      <c r="X523" s="77"/>
      <c r="Y523" s="77"/>
      <c r="Z523" s="77"/>
      <c r="AA523" s="77"/>
      <c r="AB523" s="77"/>
      <c r="AC523" s="82" t="s">
        <v>2720</v>
      </c>
      <c r="AD523" s="77" t="s">
        <v>2756</v>
      </c>
      <c r="AE523" s="80" t="str">
        <f>HYPERLINK("https://twitter.com/ataorienta/status/1677273730563571712")</f>
        <v>https://twitter.com/ataorienta/status/1677273730563571712</v>
      </c>
      <c r="AF523" s="79">
        <v>45114.465208333335</v>
      </c>
      <c r="AG523" s="85">
        <v>45114</v>
      </c>
      <c r="AH523" s="82" t="s">
        <v>3273</v>
      </c>
      <c r="AI523" s="77"/>
      <c r="AJ523" s="77"/>
      <c r="AK523" s="77"/>
      <c r="AL523" s="77"/>
      <c r="AM523" s="77"/>
      <c r="AN523" s="77"/>
      <c r="AO523" s="77"/>
      <c r="AP523" s="77"/>
      <c r="AQ523" s="77"/>
      <c r="AR523" s="77"/>
      <c r="AS523" s="77"/>
      <c r="AT523" s="77"/>
      <c r="AU523" s="77"/>
      <c r="AV523" s="80" t="str">
        <f>HYPERLINK("https://pbs.twimg.com/profile_images/1693679843404062720/q3ecO34__normal.png")</f>
        <v>https://pbs.twimg.com/profile_images/1693679843404062720/q3ecO34__normal.png</v>
      </c>
      <c r="AW523" s="82" t="s">
        <v>4856</v>
      </c>
      <c r="AX523" s="82" t="s">
        <v>5356</v>
      </c>
      <c r="AY523" s="82" t="s">
        <v>5599</v>
      </c>
      <c r="AZ523" s="82" t="s">
        <v>5640</v>
      </c>
      <c r="BA523" s="82" t="s">
        <v>5615</v>
      </c>
      <c r="BB523" s="82" t="s">
        <v>5615</v>
      </c>
      <c r="BC523" s="82" t="s">
        <v>5640</v>
      </c>
      <c r="BD523" s="82" t="s">
        <v>5599</v>
      </c>
      <c r="BE523" s="77"/>
      <c r="BF523" s="77"/>
      <c r="BG523" s="77"/>
      <c r="BH523" s="77"/>
      <c r="BI523" s="77"/>
    </row>
    <row r="524" spans="1:61" x14ac:dyDescent="0.25">
      <c r="A524" s="62" t="s">
        <v>443</v>
      </c>
      <c r="B524" s="62" t="s">
        <v>443</v>
      </c>
      <c r="C524" s="63"/>
      <c r="D524" s="64"/>
      <c r="E524" s="65"/>
      <c r="F524" s="66"/>
      <c r="G524" s="63"/>
      <c r="H524" s="67"/>
      <c r="I524" s="68"/>
      <c r="J524" s="68"/>
      <c r="K524" s="32"/>
      <c r="L524" s="75">
        <v>524</v>
      </c>
      <c r="M524" s="75"/>
      <c r="N524" s="70"/>
      <c r="O524" s="77" t="s">
        <v>583</v>
      </c>
      <c r="P524" s="79">
        <v>45113.466215277775</v>
      </c>
      <c r="Q524" s="77" t="s">
        <v>1097</v>
      </c>
      <c r="R524" s="77">
        <v>0</v>
      </c>
      <c r="S524" s="77">
        <v>0</v>
      </c>
      <c r="T524" s="77">
        <v>0</v>
      </c>
      <c r="U524" s="77">
        <v>0</v>
      </c>
      <c r="V524" s="77">
        <v>6</v>
      </c>
      <c r="W524" s="82" t="s">
        <v>1893</v>
      </c>
      <c r="X524" s="77"/>
      <c r="Y524" s="77"/>
      <c r="Z524" s="77"/>
      <c r="AA524" s="77"/>
      <c r="AB524" s="77"/>
      <c r="AC524" s="82" t="s">
        <v>2720</v>
      </c>
      <c r="AD524" s="77" t="s">
        <v>2756</v>
      </c>
      <c r="AE524" s="80" t="str">
        <f>HYPERLINK("https://twitter.com/ataorienta/status/1676911706897805312")</f>
        <v>https://twitter.com/ataorienta/status/1676911706897805312</v>
      </c>
      <c r="AF524" s="79">
        <v>45113.466215277775</v>
      </c>
      <c r="AG524" s="85">
        <v>45113</v>
      </c>
      <c r="AH524" s="82" t="s">
        <v>3274</v>
      </c>
      <c r="AI524" s="77"/>
      <c r="AJ524" s="77"/>
      <c r="AK524" s="77"/>
      <c r="AL524" s="77"/>
      <c r="AM524" s="77"/>
      <c r="AN524" s="77"/>
      <c r="AO524" s="77"/>
      <c r="AP524" s="77"/>
      <c r="AQ524" s="77"/>
      <c r="AR524" s="77"/>
      <c r="AS524" s="77"/>
      <c r="AT524" s="77"/>
      <c r="AU524" s="77"/>
      <c r="AV524" s="80" t="str">
        <f>HYPERLINK("https://pbs.twimg.com/profile_images/1693679843404062720/q3ecO34__normal.png")</f>
        <v>https://pbs.twimg.com/profile_images/1693679843404062720/q3ecO34__normal.png</v>
      </c>
      <c r="AW524" s="82" t="s">
        <v>4857</v>
      </c>
      <c r="AX524" s="82" t="s">
        <v>5357</v>
      </c>
      <c r="AY524" s="82" t="s">
        <v>5599</v>
      </c>
      <c r="AZ524" s="82" t="s">
        <v>5641</v>
      </c>
      <c r="BA524" s="82" t="s">
        <v>5615</v>
      </c>
      <c r="BB524" s="82" t="s">
        <v>5615</v>
      </c>
      <c r="BC524" s="82" t="s">
        <v>5641</v>
      </c>
      <c r="BD524" s="82" t="s">
        <v>5599</v>
      </c>
      <c r="BE524" s="77"/>
      <c r="BF524" s="77"/>
      <c r="BG524" s="77"/>
      <c r="BH524" s="77"/>
      <c r="BI524" s="77"/>
    </row>
    <row r="525" spans="1:61" x14ac:dyDescent="0.25">
      <c r="A525" s="62" t="s">
        <v>443</v>
      </c>
      <c r="B525" s="62" t="s">
        <v>443</v>
      </c>
      <c r="C525" s="63"/>
      <c r="D525" s="64"/>
      <c r="E525" s="65"/>
      <c r="F525" s="66"/>
      <c r="G525" s="63"/>
      <c r="H525" s="67"/>
      <c r="I525" s="68"/>
      <c r="J525" s="68"/>
      <c r="K525" s="32"/>
      <c r="L525" s="75">
        <v>525</v>
      </c>
      <c r="M525" s="75"/>
      <c r="N525" s="70"/>
      <c r="O525" s="77" t="s">
        <v>583</v>
      </c>
      <c r="P525" s="79">
        <v>45061.482118055559</v>
      </c>
      <c r="Q525" s="77" t="s">
        <v>1097</v>
      </c>
      <c r="R525" s="77">
        <v>0</v>
      </c>
      <c r="S525" s="77">
        <v>0</v>
      </c>
      <c r="T525" s="77">
        <v>0</v>
      </c>
      <c r="U525" s="77">
        <v>0</v>
      </c>
      <c r="V525" s="77">
        <v>6</v>
      </c>
      <c r="W525" s="82" t="s">
        <v>1893</v>
      </c>
      <c r="X525" s="77"/>
      <c r="Y525" s="77"/>
      <c r="Z525" s="77"/>
      <c r="AA525" s="77"/>
      <c r="AB525" s="77"/>
      <c r="AC525" s="82" t="s">
        <v>2720</v>
      </c>
      <c r="AD525" s="77" t="s">
        <v>2756</v>
      </c>
      <c r="AE525" s="80" t="str">
        <f>HYPERLINK("https://twitter.com/ataorienta/status/1658073303481831426")</f>
        <v>https://twitter.com/ataorienta/status/1658073303481831426</v>
      </c>
      <c r="AF525" s="79">
        <v>45061.482118055559</v>
      </c>
      <c r="AG525" s="85">
        <v>45061</v>
      </c>
      <c r="AH525" s="82" t="s">
        <v>3275</v>
      </c>
      <c r="AI525" s="77"/>
      <c r="AJ525" s="77"/>
      <c r="AK525" s="77"/>
      <c r="AL525" s="77"/>
      <c r="AM525" s="77"/>
      <c r="AN525" s="77"/>
      <c r="AO525" s="77"/>
      <c r="AP525" s="77"/>
      <c r="AQ525" s="77"/>
      <c r="AR525" s="77"/>
      <c r="AS525" s="77"/>
      <c r="AT525" s="77"/>
      <c r="AU525" s="77"/>
      <c r="AV525" s="80" t="str">
        <f>HYPERLINK("https://pbs.twimg.com/profile_images/1693679843404062720/q3ecO34__normal.png")</f>
        <v>https://pbs.twimg.com/profile_images/1693679843404062720/q3ecO34__normal.png</v>
      </c>
      <c r="AW525" s="82" t="s">
        <v>4858</v>
      </c>
      <c r="AX525" s="82" t="s">
        <v>5358</v>
      </c>
      <c r="AY525" s="82" t="s">
        <v>5599</v>
      </c>
      <c r="AZ525" s="82" t="s">
        <v>5642</v>
      </c>
      <c r="BA525" s="82" t="s">
        <v>5615</v>
      </c>
      <c r="BB525" s="82" t="s">
        <v>5615</v>
      </c>
      <c r="BC525" s="82" t="s">
        <v>5642</v>
      </c>
      <c r="BD525" s="82" t="s">
        <v>5599</v>
      </c>
      <c r="BE525" s="77"/>
      <c r="BF525" s="77"/>
      <c r="BG525" s="77"/>
      <c r="BH525" s="77"/>
      <c r="BI525" s="77"/>
    </row>
    <row r="526" spans="1:61" x14ac:dyDescent="0.25">
      <c r="A526" s="62" t="s">
        <v>443</v>
      </c>
      <c r="B526" s="62" t="s">
        <v>443</v>
      </c>
      <c r="C526" s="63"/>
      <c r="D526" s="64"/>
      <c r="E526" s="65"/>
      <c r="F526" s="66"/>
      <c r="G526" s="63"/>
      <c r="H526" s="67"/>
      <c r="I526" s="68"/>
      <c r="J526" s="68"/>
      <c r="K526" s="32"/>
      <c r="L526" s="75">
        <v>526</v>
      </c>
      <c r="M526" s="75"/>
      <c r="N526" s="70"/>
      <c r="O526" s="77" t="s">
        <v>583</v>
      </c>
      <c r="P526" s="79">
        <v>45061.052581018521</v>
      </c>
      <c r="Q526" s="77" t="s">
        <v>1096</v>
      </c>
      <c r="R526" s="77">
        <v>0</v>
      </c>
      <c r="S526" s="77">
        <v>0</v>
      </c>
      <c r="T526" s="77">
        <v>0</v>
      </c>
      <c r="U526" s="77">
        <v>0</v>
      </c>
      <c r="V526" s="77">
        <v>7</v>
      </c>
      <c r="W526" s="82" t="s">
        <v>1892</v>
      </c>
      <c r="X526" s="77"/>
      <c r="Y526" s="77"/>
      <c r="Z526" s="77"/>
      <c r="AA526" s="77"/>
      <c r="AB526" s="77"/>
      <c r="AC526" s="82" t="s">
        <v>2720</v>
      </c>
      <c r="AD526" s="77" t="s">
        <v>2756</v>
      </c>
      <c r="AE526" s="80" t="str">
        <f>HYPERLINK("https://twitter.com/ataorienta/status/1657917642135552000")</f>
        <v>https://twitter.com/ataorienta/status/1657917642135552000</v>
      </c>
      <c r="AF526" s="79">
        <v>45061.052581018521</v>
      </c>
      <c r="AG526" s="85">
        <v>45061</v>
      </c>
      <c r="AH526" s="82" t="s">
        <v>3276</v>
      </c>
      <c r="AI526" s="77"/>
      <c r="AJ526" s="77"/>
      <c r="AK526" s="77"/>
      <c r="AL526" s="77"/>
      <c r="AM526" s="77"/>
      <c r="AN526" s="77"/>
      <c r="AO526" s="77"/>
      <c r="AP526" s="77"/>
      <c r="AQ526" s="77"/>
      <c r="AR526" s="77"/>
      <c r="AS526" s="77"/>
      <c r="AT526" s="77"/>
      <c r="AU526" s="77"/>
      <c r="AV526" s="80" t="str">
        <f>HYPERLINK("https://pbs.twimg.com/profile_images/1693679843404062720/q3ecO34__normal.png")</f>
        <v>https://pbs.twimg.com/profile_images/1693679843404062720/q3ecO34__normal.png</v>
      </c>
      <c r="AW526" s="82" t="s">
        <v>4859</v>
      </c>
      <c r="AX526" s="82" t="s">
        <v>5359</v>
      </c>
      <c r="AY526" s="82" t="s">
        <v>5599</v>
      </c>
      <c r="AZ526" s="82" t="s">
        <v>5643</v>
      </c>
      <c r="BA526" s="82" t="s">
        <v>5615</v>
      </c>
      <c r="BB526" s="82" t="s">
        <v>5615</v>
      </c>
      <c r="BC526" s="82" t="s">
        <v>5643</v>
      </c>
      <c r="BD526" s="82" t="s">
        <v>5599</v>
      </c>
      <c r="BE526" s="77"/>
      <c r="BF526" s="77"/>
      <c r="BG526" s="77"/>
      <c r="BH526" s="77"/>
      <c r="BI526" s="77"/>
    </row>
    <row r="527" spans="1:61" x14ac:dyDescent="0.25">
      <c r="A527" s="62" t="s">
        <v>443</v>
      </c>
      <c r="B527" s="62" t="s">
        <v>443</v>
      </c>
      <c r="C527" s="63"/>
      <c r="D527" s="64"/>
      <c r="E527" s="65"/>
      <c r="F527" s="66"/>
      <c r="G527" s="63"/>
      <c r="H527" s="67"/>
      <c r="I527" s="68"/>
      <c r="J527" s="68"/>
      <c r="K527" s="32"/>
      <c r="L527" s="75">
        <v>527</v>
      </c>
      <c r="M527" s="75"/>
      <c r="N527" s="70"/>
      <c r="O527" s="77" t="s">
        <v>583</v>
      </c>
      <c r="P527" s="79">
        <v>45159.497372685182</v>
      </c>
      <c r="Q527" s="77" t="s">
        <v>1101</v>
      </c>
      <c r="R527" s="77">
        <v>0</v>
      </c>
      <c r="S527" s="77">
        <v>0</v>
      </c>
      <c r="T527" s="77">
        <v>0</v>
      </c>
      <c r="U527" s="77">
        <v>0</v>
      </c>
      <c r="V527" s="77">
        <v>7</v>
      </c>
      <c r="W527" s="82" t="s">
        <v>1897</v>
      </c>
      <c r="X527" s="77"/>
      <c r="Y527" s="77"/>
      <c r="Z527" s="77"/>
      <c r="AA527" s="77"/>
      <c r="AB527" s="77"/>
      <c r="AC527" s="82" t="s">
        <v>2720</v>
      </c>
      <c r="AD527" s="77" t="s">
        <v>2756</v>
      </c>
      <c r="AE527" s="80" t="str">
        <f>HYPERLINK("https://twitter.com/ataorienta/status/1693592842336125287")</f>
        <v>https://twitter.com/ataorienta/status/1693592842336125287</v>
      </c>
      <c r="AF527" s="79">
        <v>45159.497372685182</v>
      </c>
      <c r="AG527" s="85">
        <v>45159</v>
      </c>
      <c r="AH527" s="82" t="s">
        <v>3277</v>
      </c>
      <c r="AI527" s="77"/>
      <c r="AJ527" s="77"/>
      <c r="AK527" s="77"/>
      <c r="AL527" s="77"/>
      <c r="AM527" s="77"/>
      <c r="AN527" s="77"/>
      <c r="AO527" s="77"/>
      <c r="AP527" s="77"/>
      <c r="AQ527" s="77"/>
      <c r="AR527" s="77"/>
      <c r="AS527" s="77"/>
      <c r="AT527" s="77"/>
      <c r="AU527" s="77"/>
      <c r="AV527" s="80" t="str">
        <f>HYPERLINK("https://pbs.twimg.com/profile_images/1693679843404062720/q3ecO34__normal.png")</f>
        <v>https://pbs.twimg.com/profile_images/1693679843404062720/q3ecO34__normal.png</v>
      </c>
      <c r="AW527" s="82" t="s">
        <v>4860</v>
      </c>
      <c r="AX527" s="82" t="s">
        <v>5360</v>
      </c>
      <c r="AY527" s="82" t="s">
        <v>5599</v>
      </c>
      <c r="AZ527" s="82" t="s">
        <v>5644</v>
      </c>
      <c r="BA527" s="82" t="s">
        <v>5615</v>
      </c>
      <c r="BB527" s="82" t="s">
        <v>5615</v>
      </c>
      <c r="BC527" s="82" t="s">
        <v>5644</v>
      </c>
      <c r="BD527" s="82" t="s">
        <v>5599</v>
      </c>
      <c r="BE527" s="77"/>
      <c r="BF527" s="77"/>
      <c r="BG527" s="77"/>
      <c r="BH527" s="77"/>
      <c r="BI527" s="77"/>
    </row>
    <row r="528" spans="1:61" x14ac:dyDescent="0.25">
      <c r="A528" s="62" t="s">
        <v>443</v>
      </c>
      <c r="B528" s="62" t="s">
        <v>443</v>
      </c>
      <c r="C528" s="63"/>
      <c r="D528" s="64"/>
      <c r="E528" s="65"/>
      <c r="F528" s="66"/>
      <c r="G528" s="63"/>
      <c r="H528" s="67"/>
      <c r="I528" s="68"/>
      <c r="J528" s="68"/>
      <c r="K528" s="32"/>
      <c r="L528" s="75">
        <v>528</v>
      </c>
      <c r="M528" s="75"/>
      <c r="N528" s="70"/>
      <c r="O528" s="77" t="s">
        <v>583</v>
      </c>
      <c r="P528" s="79">
        <v>45171.509710648148</v>
      </c>
      <c r="Q528" s="77" t="s">
        <v>1102</v>
      </c>
      <c r="R528" s="77">
        <v>0</v>
      </c>
      <c r="S528" s="77">
        <v>0</v>
      </c>
      <c r="T528" s="77">
        <v>0</v>
      </c>
      <c r="U528" s="77">
        <v>0</v>
      </c>
      <c r="V528" s="77">
        <v>20</v>
      </c>
      <c r="W528" s="82" t="s">
        <v>1898</v>
      </c>
      <c r="X528" s="77"/>
      <c r="Y528" s="77"/>
      <c r="Z528" s="77"/>
      <c r="AA528" s="77"/>
      <c r="AB528" s="77"/>
      <c r="AC528" s="82" t="s">
        <v>2720</v>
      </c>
      <c r="AD528" s="77" t="s">
        <v>2756</v>
      </c>
      <c r="AE528" s="80" t="str">
        <f>HYPERLINK("https://twitter.com/ataorienta/status/1697945965339054460")</f>
        <v>https://twitter.com/ataorienta/status/1697945965339054460</v>
      </c>
      <c r="AF528" s="79">
        <v>45171.509710648148</v>
      </c>
      <c r="AG528" s="85">
        <v>45171</v>
      </c>
      <c r="AH528" s="82" t="s">
        <v>3278</v>
      </c>
      <c r="AI528" s="77"/>
      <c r="AJ528" s="77"/>
      <c r="AK528" s="77"/>
      <c r="AL528" s="77"/>
      <c r="AM528" s="77"/>
      <c r="AN528" s="77"/>
      <c r="AO528" s="77"/>
      <c r="AP528" s="77"/>
      <c r="AQ528" s="77"/>
      <c r="AR528" s="77"/>
      <c r="AS528" s="77"/>
      <c r="AT528" s="77"/>
      <c r="AU528" s="77"/>
      <c r="AV528" s="80" t="str">
        <f>HYPERLINK("https://pbs.twimg.com/profile_images/1693679843404062720/q3ecO34__normal.png")</f>
        <v>https://pbs.twimg.com/profile_images/1693679843404062720/q3ecO34__normal.png</v>
      </c>
      <c r="AW528" s="82" t="s">
        <v>4861</v>
      </c>
      <c r="AX528" s="82" t="s">
        <v>5361</v>
      </c>
      <c r="AY528" s="82" t="s">
        <v>5599</v>
      </c>
      <c r="AZ528" s="82" t="s">
        <v>5645</v>
      </c>
      <c r="BA528" s="82" t="s">
        <v>5615</v>
      </c>
      <c r="BB528" s="82" t="s">
        <v>5615</v>
      </c>
      <c r="BC528" s="82" t="s">
        <v>5645</v>
      </c>
      <c r="BD528" s="82" t="s">
        <v>5599</v>
      </c>
      <c r="BE528" s="77"/>
      <c r="BF528" s="77"/>
      <c r="BG528" s="77"/>
      <c r="BH528" s="77"/>
      <c r="BI528" s="77"/>
    </row>
    <row r="529" spans="1:61" x14ac:dyDescent="0.25">
      <c r="A529" s="62" t="s">
        <v>443</v>
      </c>
      <c r="B529" s="62" t="s">
        <v>443</v>
      </c>
      <c r="C529" s="63"/>
      <c r="D529" s="64"/>
      <c r="E529" s="65"/>
      <c r="F529" s="66"/>
      <c r="G529" s="63"/>
      <c r="H529" s="67"/>
      <c r="I529" s="68"/>
      <c r="J529" s="68"/>
      <c r="K529" s="32"/>
      <c r="L529" s="75">
        <v>529</v>
      </c>
      <c r="M529" s="75"/>
      <c r="N529" s="70"/>
      <c r="O529" s="77" t="s">
        <v>583</v>
      </c>
      <c r="P529" s="79">
        <v>45164.539074074077</v>
      </c>
      <c r="Q529" s="77" t="s">
        <v>1096</v>
      </c>
      <c r="R529" s="77">
        <v>0</v>
      </c>
      <c r="S529" s="77">
        <v>1</v>
      </c>
      <c r="T529" s="77">
        <v>0</v>
      </c>
      <c r="U529" s="77">
        <v>0</v>
      </c>
      <c r="V529" s="77">
        <v>30</v>
      </c>
      <c r="W529" s="82" t="s">
        <v>1892</v>
      </c>
      <c r="X529" s="77"/>
      <c r="Y529" s="77"/>
      <c r="Z529" s="77"/>
      <c r="AA529" s="77"/>
      <c r="AB529" s="77"/>
      <c r="AC529" s="82" t="s">
        <v>2720</v>
      </c>
      <c r="AD529" s="77" t="s">
        <v>2756</v>
      </c>
      <c r="AE529" s="80" t="str">
        <f>HYPERLINK("https://twitter.com/ataorienta/status/1695419892004954592")</f>
        <v>https://twitter.com/ataorienta/status/1695419892004954592</v>
      </c>
      <c r="AF529" s="79">
        <v>45164.539074074077</v>
      </c>
      <c r="AG529" s="85">
        <v>45164</v>
      </c>
      <c r="AH529" s="82" t="s">
        <v>3279</v>
      </c>
      <c r="AI529" s="77"/>
      <c r="AJ529" s="77"/>
      <c r="AK529" s="77"/>
      <c r="AL529" s="77"/>
      <c r="AM529" s="77"/>
      <c r="AN529" s="77"/>
      <c r="AO529" s="77"/>
      <c r="AP529" s="77"/>
      <c r="AQ529" s="77"/>
      <c r="AR529" s="77"/>
      <c r="AS529" s="77"/>
      <c r="AT529" s="77"/>
      <c r="AU529" s="77"/>
      <c r="AV529" s="80" t="str">
        <f>HYPERLINK("https://pbs.twimg.com/profile_images/1693679843404062720/q3ecO34__normal.png")</f>
        <v>https://pbs.twimg.com/profile_images/1693679843404062720/q3ecO34__normal.png</v>
      </c>
      <c r="AW529" s="82" t="s">
        <v>4862</v>
      </c>
      <c r="AX529" s="82" t="s">
        <v>5362</v>
      </c>
      <c r="AY529" s="82" t="s">
        <v>5599</v>
      </c>
      <c r="AZ529" s="82" t="s">
        <v>5646</v>
      </c>
      <c r="BA529" s="82" t="s">
        <v>5615</v>
      </c>
      <c r="BB529" s="82" t="s">
        <v>5615</v>
      </c>
      <c r="BC529" s="82" t="s">
        <v>5646</v>
      </c>
      <c r="BD529" s="82" t="s">
        <v>5599</v>
      </c>
      <c r="BE529" s="77"/>
      <c r="BF529" s="77"/>
      <c r="BG529" s="77"/>
      <c r="BH529" s="77"/>
      <c r="BI529" s="77"/>
    </row>
    <row r="530" spans="1:61" x14ac:dyDescent="0.25">
      <c r="A530" s="62" t="s">
        <v>443</v>
      </c>
      <c r="B530" s="62" t="s">
        <v>443</v>
      </c>
      <c r="C530" s="63"/>
      <c r="D530" s="64"/>
      <c r="E530" s="65"/>
      <c r="F530" s="66"/>
      <c r="G530" s="63"/>
      <c r="H530" s="67"/>
      <c r="I530" s="68"/>
      <c r="J530" s="68"/>
      <c r="K530" s="32"/>
      <c r="L530" s="75">
        <v>530</v>
      </c>
      <c r="M530" s="75"/>
      <c r="N530" s="70"/>
      <c r="O530" s="77" t="s">
        <v>583</v>
      </c>
      <c r="P530" s="79">
        <v>45153.510833333334</v>
      </c>
      <c r="Q530" s="77" t="s">
        <v>1101</v>
      </c>
      <c r="R530" s="77">
        <v>0</v>
      </c>
      <c r="S530" s="77">
        <v>0</v>
      </c>
      <c r="T530" s="77">
        <v>0</v>
      </c>
      <c r="U530" s="77">
        <v>0</v>
      </c>
      <c r="V530" s="77">
        <v>9</v>
      </c>
      <c r="W530" s="82" t="s">
        <v>1897</v>
      </c>
      <c r="X530" s="77"/>
      <c r="Y530" s="77"/>
      <c r="Z530" s="77"/>
      <c r="AA530" s="77"/>
      <c r="AB530" s="77"/>
      <c r="AC530" s="82" t="s">
        <v>2720</v>
      </c>
      <c r="AD530" s="77" t="s">
        <v>2756</v>
      </c>
      <c r="AE530" s="80" t="str">
        <f>HYPERLINK("https://twitter.com/ataorienta/status/1691423393055121411")</f>
        <v>https://twitter.com/ataorienta/status/1691423393055121411</v>
      </c>
      <c r="AF530" s="79">
        <v>45153.510833333334</v>
      </c>
      <c r="AG530" s="85">
        <v>45153</v>
      </c>
      <c r="AH530" s="82" t="s">
        <v>3280</v>
      </c>
      <c r="AI530" s="77"/>
      <c r="AJ530" s="77"/>
      <c r="AK530" s="77"/>
      <c r="AL530" s="77"/>
      <c r="AM530" s="77"/>
      <c r="AN530" s="77"/>
      <c r="AO530" s="77"/>
      <c r="AP530" s="77"/>
      <c r="AQ530" s="77"/>
      <c r="AR530" s="77"/>
      <c r="AS530" s="77"/>
      <c r="AT530" s="77"/>
      <c r="AU530" s="77"/>
      <c r="AV530" s="80" t="str">
        <f>HYPERLINK("https://pbs.twimg.com/profile_images/1693679843404062720/q3ecO34__normal.png")</f>
        <v>https://pbs.twimg.com/profile_images/1693679843404062720/q3ecO34__normal.png</v>
      </c>
      <c r="AW530" s="82" t="s">
        <v>4863</v>
      </c>
      <c r="AX530" s="82" t="s">
        <v>5363</v>
      </c>
      <c r="AY530" s="82" t="s">
        <v>5599</v>
      </c>
      <c r="AZ530" s="82" t="s">
        <v>5647</v>
      </c>
      <c r="BA530" s="82" t="s">
        <v>5615</v>
      </c>
      <c r="BB530" s="82" t="s">
        <v>5615</v>
      </c>
      <c r="BC530" s="82" t="s">
        <v>5647</v>
      </c>
      <c r="BD530" s="82" t="s">
        <v>5599</v>
      </c>
      <c r="BE530" s="77"/>
      <c r="BF530" s="77"/>
      <c r="BG530" s="77"/>
      <c r="BH530" s="77"/>
      <c r="BI530" s="77"/>
    </row>
    <row r="531" spans="1:61" x14ac:dyDescent="0.25">
      <c r="A531" s="62" t="s">
        <v>443</v>
      </c>
      <c r="B531" s="62" t="s">
        <v>443</v>
      </c>
      <c r="C531" s="63"/>
      <c r="D531" s="64"/>
      <c r="E531" s="65"/>
      <c r="F531" s="66"/>
      <c r="G531" s="63"/>
      <c r="H531" s="67"/>
      <c r="I531" s="68"/>
      <c r="J531" s="68"/>
      <c r="K531" s="32"/>
      <c r="L531" s="75">
        <v>531</v>
      </c>
      <c r="M531" s="75"/>
      <c r="N531" s="70"/>
      <c r="O531" s="77" t="s">
        <v>583</v>
      </c>
      <c r="P531" s="79">
        <v>45180.508333333331</v>
      </c>
      <c r="Q531" s="77" t="s">
        <v>1103</v>
      </c>
      <c r="R531" s="77">
        <v>0</v>
      </c>
      <c r="S531" s="77">
        <v>0</v>
      </c>
      <c r="T531" s="77">
        <v>0</v>
      </c>
      <c r="U531" s="77">
        <v>0</v>
      </c>
      <c r="V531" s="77">
        <v>15</v>
      </c>
      <c r="W531" s="82" t="s">
        <v>1899</v>
      </c>
      <c r="X531" s="77"/>
      <c r="Y531" s="77"/>
      <c r="Z531" s="77"/>
      <c r="AA531" s="77"/>
      <c r="AB531" s="77"/>
      <c r="AC531" s="82" t="s">
        <v>2720</v>
      </c>
      <c r="AD531" s="77" t="s">
        <v>2756</v>
      </c>
      <c r="AE531" s="80" t="str">
        <f>HYPERLINK("https://twitter.com/ataorienta/status/1701206958684901660")</f>
        <v>https://twitter.com/ataorienta/status/1701206958684901660</v>
      </c>
      <c r="AF531" s="79">
        <v>45180.508333333331</v>
      </c>
      <c r="AG531" s="85">
        <v>45180</v>
      </c>
      <c r="AH531" s="82" t="s">
        <v>3281</v>
      </c>
      <c r="AI531" s="77"/>
      <c r="AJ531" s="77"/>
      <c r="AK531" s="77"/>
      <c r="AL531" s="77"/>
      <c r="AM531" s="77"/>
      <c r="AN531" s="77"/>
      <c r="AO531" s="77"/>
      <c r="AP531" s="77"/>
      <c r="AQ531" s="77"/>
      <c r="AR531" s="77"/>
      <c r="AS531" s="77"/>
      <c r="AT531" s="77"/>
      <c r="AU531" s="77"/>
      <c r="AV531" s="80" t="str">
        <f>HYPERLINK("https://pbs.twimg.com/profile_images/1693679843404062720/q3ecO34__normal.png")</f>
        <v>https://pbs.twimg.com/profile_images/1693679843404062720/q3ecO34__normal.png</v>
      </c>
      <c r="AW531" s="82" t="s">
        <v>4864</v>
      </c>
      <c r="AX531" s="82" t="s">
        <v>5364</v>
      </c>
      <c r="AY531" s="82" t="s">
        <v>5599</v>
      </c>
      <c r="AZ531" s="82" t="s">
        <v>5648</v>
      </c>
      <c r="BA531" s="82" t="s">
        <v>5615</v>
      </c>
      <c r="BB531" s="82" t="s">
        <v>5615</v>
      </c>
      <c r="BC531" s="82" t="s">
        <v>5648</v>
      </c>
      <c r="BD531" s="82" t="s">
        <v>5599</v>
      </c>
      <c r="BE531" s="77"/>
      <c r="BF531" s="77"/>
      <c r="BG531" s="77"/>
      <c r="BH531" s="77"/>
      <c r="BI531" s="77"/>
    </row>
    <row r="532" spans="1:61" x14ac:dyDescent="0.25">
      <c r="A532" s="62" t="s">
        <v>443</v>
      </c>
      <c r="B532" s="62" t="s">
        <v>443</v>
      </c>
      <c r="C532" s="63"/>
      <c r="D532" s="64"/>
      <c r="E532" s="65"/>
      <c r="F532" s="66"/>
      <c r="G532" s="63"/>
      <c r="H532" s="67"/>
      <c r="I532" s="68"/>
      <c r="J532" s="68"/>
      <c r="K532" s="32"/>
      <c r="L532" s="75">
        <v>532</v>
      </c>
      <c r="M532" s="75"/>
      <c r="N532" s="70"/>
      <c r="O532" s="77" t="s">
        <v>583</v>
      </c>
      <c r="P532" s="79">
        <v>45178.521435185183</v>
      </c>
      <c r="Q532" s="77" t="s">
        <v>1102</v>
      </c>
      <c r="R532" s="77">
        <v>0</v>
      </c>
      <c r="S532" s="77">
        <v>1</v>
      </c>
      <c r="T532" s="77">
        <v>0</v>
      </c>
      <c r="U532" s="77">
        <v>0</v>
      </c>
      <c r="V532" s="77">
        <v>38</v>
      </c>
      <c r="W532" s="82" t="s">
        <v>1898</v>
      </c>
      <c r="X532" s="77"/>
      <c r="Y532" s="77"/>
      <c r="Z532" s="77"/>
      <c r="AA532" s="77"/>
      <c r="AB532" s="77"/>
      <c r="AC532" s="82" t="s">
        <v>2720</v>
      </c>
      <c r="AD532" s="77" t="s">
        <v>2756</v>
      </c>
      <c r="AE532" s="80" t="str">
        <f>HYPERLINK("https://twitter.com/ataorienta/status/1700486929546936718")</f>
        <v>https://twitter.com/ataorienta/status/1700486929546936718</v>
      </c>
      <c r="AF532" s="79">
        <v>45178.521435185183</v>
      </c>
      <c r="AG532" s="85">
        <v>45178</v>
      </c>
      <c r="AH532" s="82" t="s">
        <v>3282</v>
      </c>
      <c r="AI532" s="77"/>
      <c r="AJ532" s="77"/>
      <c r="AK532" s="77"/>
      <c r="AL532" s="77"/>
      <c r="AM532" s="77"/>
      <c r="AN532" s="77"/>
      <c r="AO532" s="77"/>
      <c r="AP532" s="77"/>
      <c r="AQ532" s="77"/>
      <c r="AR532" s="77"/>
      <c r="AS532" s="77"/>
      <c r="AT532" s="77"/>
      <c r="AU532" s="77"/>
      <c r="AV532" s="80" t="str">
        <f>HYPERLINK("https://pbs.twimg.com/profile_images/1693679843404062720/q3ecO34__normal.png")</f>
        <v>https://pbs.twimg.com/profile_images/1693679843404062720/q3ecO34__normal.png</v>
      </c>
      <c r="AW532" s="82" t="s">
        <v>4865</v>
      </c>
      <c r="AX532" s="82" t="s">
        <v>5365</v>
      </c>
      <c r="AY532" s="82" t="s">
        <v>5599</v>
      </c>
      <c r="AZ532" s="82" t="s">
        <v>5649</v>
      </c>
      <c r="BA532" s="82" t="s">
        <v>5615</v>
      </c>
      <c r="BB532" s="82" t="s">
        <v>5615</v>
      </c>
      <c r="BC532" s="82" t="s">
        <v>5649</v>
      </c>
      <c r="BD532" s="82" t="s">
        <v>5599</v>
      </c>
      <c r="BE532" s="77"/>
      <c r="BF532" s="77"/>
      <c r="BG532" s="77"/>
      <c r="BH532" s="77"/>
      <c r="BI532" s="77"/>
    </row>
    <row r="533" spans="1:61" x14ac:dyDescent="0.25">
      <c r="A533" s="62" t="s">
        <v>443</v>
      </c>
      <c r="B533" s="62" t="s">
        <v>443</v>
      </c>
      <c r="C533" s="63"/>
      <c r="D533" s="64"/>
      <c r="E533" s="65"/>
      <c r="F533" s="66"/>
      <c r="G533" s="63"/>
      <c r="H533" s="67"/>
      <c r="I533" s="68"/>
      <c r="J533" s="68"/>
      <c r="K533" s="32"/>
      <c r="L533" s="75">
        <v>533</v>
      </c>
      <c r="M533" s="75"/>
      <c r="N533" s="70"/>
      <c r="O533" s="77" t="s">
        <v>583</v>
      </c>
      <c r="P533" s="79">
        <v>45176.522453703707</v>
      </c>
      <c r="Q533" s="77" t="s">
        <v>1102</v>
      </c>
      <c r="R533" s="77">
        <v>0</v>
      </c>
      <c r="S533" s="77">
        <v>0</v>
      </c>
      <c r="T533" s="77">
        <v>0</v>
      </c>
      <c r="U533" s="77">
        <v>0</v>
      </c>
      <c r="V533" s="77">
        <v>15</v>
      </c>
      <c r="W533" s="82" t="s">
        <v>1898</v>
      </c>
      <c r="X533" s="77"/>
      <c r="Y533" s="77"/>
      <c r="Z533" s="77"/>
      <c r="AA533" s="77"/>
      <c r="AB533" s="77"/>
      <c r="AC533" s="82" t="s">
        <v>2720</v>
      </c>
      <c r="AD533" s="77" t="s">
        <v>2756</v>
      </c>
      <c r="AE533" s="80" t="str">
        <f>HYPERLINK("https://twitter.com/ataorienta/status/1699762525372325954")</f>
        <v>https://twitter.com/ataorienta/status/1699762525372325954</v>
      </c>
      <c r="AF533" s="79">
        <v>45176.522453703707</v>
      </c>
      <c r="AG533" s="85">
        <v>45176</v>
      </c>
      <c r="AH533" s="82" t="s">
        <v>3283</v>
      </c>
      <c r="AI533" s="77"/>
      <c r="AJ533" s="77"/>
      <c r="AK533" s="77"/>
      <c r="AL533" s="77"/>
      <c r="AM533" s="77"/>
      <c r="AN533" s="77"/>
      <c r="AO533" s="77"/>
      <c r="AP533" s="77"/>
      <c r="AQ533" s="77"/>
      <c r="AR533" s="77"/>
      <c r="AS533" s="77"/>
      <c r="AT533" s="77"/>
      <c r="AU533" s="77"/>
      <c r="AV533" s="80" t="str">
        <f>HYPERLINK("https://pbs.twimg.com/profile_images/1693679843404062720/q3ecO34__normal.png")</f>
        <v>https://pbs.twimg.com/profile_images/1693679843404062720/q3ecO34__normal.png</v>
      </c>
      <c r="AW533" s="82" t="s">
        <v>4866</v>
      </c>
      <c r="AX533" s="82" t="s">
        <v>5366</v>
      </c>
      <c r="AY533" s="82" t="s">
        <v>5599</v>
      </c>
      <c r="AZ533" s="82" t="s">
        <v>5650</v>
      </c>
      <c r="BA533" s="82" t="s">
        <v>5615</v>
      </c>
      <c r="BB533" s="82" t="s">
        <v>5615</v>
      </c>
      <c r="BC533" s="82" t="s">
        <v>5650</v>
      </c>
      <c r="BD533" s="82" t="s">
        <v>5599</v>
      </c>
      <c r="BE533" s="77"/>
      <c r="BF533" s="77"/>
      <c r="BG533" s="77"/>
      <c r="BH533" s="77"/>
      <c r="BI533" s="77"/>
    </row>
    <row r="534" spans="1:61" x14ac:dyDescent="0.25">
      <c r="A534" s="62" t="s">
        <v>443</v>
      </c>
      <c r="B534" s="62" t="s">
        <v>443</v>
      </c>
      <c r="C534" s="63"/>
      <c r="D534" s="64"/>
      <c r="E534" s="65"/>
      <c r="F534" s="66"/>
      <c r="G534" s="63"/>
      <c r="H534" s="67"/>
      <c r="I534" s="68"/>
      <c r="J534" s="68"/>
      <c r="K534" s="32"/>
      <c r="L534" s="75">
        <v>534</v>
      </c>
      <c r="M534" s="75"/>
      <c r="N534" s="70"/>
      <c r="O534" s="77" t="s">
        <v>583</v>
      </c>
      <c r="P534" s="79">
        <v>45173.490659722222</v>
      </c>
      <c r="Q534" s="77" t="s">
        <v>1103</v>
      </c>
      <c r="R534" s="77">
        <v>0</v>
      </c>
      <c r="S534" s="77">
        <v>0</v>
      </c>
      <c r="T534" s="77">
        <v>0</v>
      </c>
      <c r="U534" s="77">
        <v>0</v>
      </c>
      <c r="V534" s="77">
        <v>16</v>
      </c>
      <c r="W534" s="82" t="s">
        <v>1899</v>
      </c>
      <c r="X534" s="77"/>
      <c r="Y534" s="77"/>
      <c r="Z534" s="77"/>
      <c r="AA534" s="77"/>
      <c r="AB534" s="77"/>
      <c r="AC534" s="82" t="s">
        <v>2720</v>
      </c>
      <c r="AD534" s="77" t="s">
        <v>2756</v>
      </c>
      <c r="AE534" s="80" t="str">
        <f>HYPERLINK("https://twitter.com/ataorienta/status/1698663838428656065")</f>
        <v>https://twitter.com/ataorienta/status/1698663838428656065</v>
      </c>
      <c r="AF534" s="79">
        <v>45173.490659722222</v>
      </c>
      <c r="AG534" s="85">
        <v>45173</v>
      </c>
      <c r="AH534" s="82" t="s">
        <v>3284</v>
      </c>
      <c r="AI534" s="77"/>
      <c r="AJ534" s="77"/>
      <c r="AK534" s="77"/>
      <c r="AL534" s="77"/>
      <c r="AM534" s="77"/>
      <c r="AN534" s="77"/>
      <c r="AO534" s="77"/>
      <c r="AP534" s="77"/>
      <c r="AQ534" s="77"/>
      <c r="AR534" s="77"/>
      <c r="AS534" s="77"/>
      <c r="AT534" s="77"/>
      <c r="AU534" s="77"/>
      <c r="AV534" s="80" t="str">
        <f>HYPERLINK("https://pbs.twimg.com/profile_images/1693679843404062720/q3ecO34__normal.png")</f>
        <v>https://pbs.twimg.com/profile_images/1693679843404062720/q3ecO34__normal.png</v>
      </c>
      <c r="AW534" s="82" t="s">
        <v>4867</v>
      </c>
      <c r="AX534" s="82" t="s">
        <v>5367</v>
      </c>
      <c r="AY534" s="82" t="s">
        <v>5599</v>
      </c>
      <c r="AZ534" s="82" t="s">
        <v>5651</v>
      </c>
      <c r="BA534" s="82" t="s">
        <v>5615</v>
      </c>
      <c r="BB534" s="82" t="s">
        <v>5615</v>
      </c>
      <c r="BC534" s="82" t="s">
        <v>5651</v>
      </c>
      <c r="BD534" s="82" t="s">
        <v>5599</v>
      </c>
      <c r="BE534" s="77"/>
      <c r="BF534" s="77"/>
      <c r="BG534" s="77"/>
      <c r="BH534" s="77"/>
      <c r="BI534" s="77"/>
    </row>
    <row r="535" spans="1:61" x14ac:dyDescent="0.25">
      <c r="A535" s="62" t="s">
        <v>443</v>
      </c>
      <c r="B535" s="62" t="s">
        <v>443</v>
      </c>
      <c r="C535" s="63"/>
      <c r="D535" s="64"/>
      <c r="E535" s="65"/>
      <c r="F535" s="66"/>
      <c r="G535" s="63"/>
      <c r="H535" s="67"/>
      <c r="I535" s="68"/>
      <c r="J535" s="68"/>
      <c r="K535" s="32"/>
      <c r="L535" s="75">
        <v>535</v>
      </c>
      <c r="M535" s="75"/>
      <c r="N535" s="70"/>
      <c r="O535" s="77" t="s">
        <v>583</v>
      </c>
      <c r="P535" s="79">
        <v>45166.648576388892</v>
      </c>
      <c r="Q535" s="77" t="s">
        <v>1101</v>
      </c>
      <c r="R535" s="77">
        <v>0</v>
      </c>
      <c r="S535" s="77">
        <v>0</v>
      </c>
      <c r="T535" s="77">
        <v>0</v>
      </c>
      <c r="U535" s="77">
        <v>0</v>
      </c>
      <c r="V535" s="77">
        <v>18</v>
      </c>
      <c r="W535" s="82" t="s">
        <v>1897</v>
      </c>
      <c r="X535" s="77"/>
      <c r="Y535" s="77"/>
      <c r="Z535" s="77"/>
      <c r="AA535" s="77"/>
      <c r="AB535" s="77"/>
      <c r="AC535" s="82" t="s">
        <v>2720</v>
      </c>
      <c r="AD535" s="77" t="s">
        <v>2756</v>
      </c>
      <c r="AE535" s="80" t="str">
        <f>HYPERLINK("https://twitter.com/ataorienta/status/1696184351862501424")</f>
        <v>https://twitter.com/ataorienta/status/1696184351862501424</v>
      </c>
      <c r="AF535" s="79">
        <v>45166.648576388892</v>
      </c>
      <c r="AG535" s="85">
        <v>45166</v>
      </c>
      <c r="AH535" s="82" t="s">
        <v>3285</v>
      </c>
      <c r="AI535" s="77"/>
      <c r="AJ535" s="77"/>
      <c r="AK535" s="77"/>
      <c r="AL535" s="77"/>
      <c r="AM535" s="77"/>
      <c r="AN535" s="77"/>
      <c r="AO535" s="77"/>
      <c r="AP535" s="77"/>
      <c r="AQ535" s="77"/>
      <c r="AR535" s="77"/>
      <c r="AS535" s="77"/>
      <c r="AT535" s="77"/>
      <c r="AU535" s="77"/>
      <c r="AV535" s="80" t="str">
        <f>HYPERLINK("https://pbs.twimg.com/profile_images/1693679843404062720/q3ecO34__normal.png")</f>
        <v>https://pbs.twimg.com/profile_images/1693679843404062720/q3ecO34__normal.png</v>
      </c>
      <c r="AW535" s="82" t="s">
        <v>4868</v>
      </c>
      <c r="AX535" s="82" t="s">
        <v>5368</v>
      </c>
      <c r="AY535" s="82" t="s">
        <v>5599</v>
      </c>
      <c r="AZ535" s="82" t="s">
        <v>5652</v>
      </c>
      <c r="BA535" s="82" t="s">
        <v>5615</v>
      </c>
      <c r="BB535" s="82" t="s">
        <v>5615</v>
      </c>
      <c r="BC535" s="82" t="s">
        <v>5652</v>
      </c>
      <c r="BD535" s="82" t="s">
        <v>5599</v>
      </c>
      <c r="BE535" s="77"/>
      <c r="BF535" s="77"/>
      <c r="BG535" s="77"/>
      <c r="BH535" s="77"/>
      <c r="BI535" s="77"/>
    </row>
    <row r="536" spans="1:61" x14ac:dyDescent="0.25">
      <c r="A536" s="62" t="s">
        <v>443</v>
      </c>
      <c r="B536" s="62" t="s">
        <v>443</v>
      </c>
      <c r="C536" s="63"/>
      <c r="D536" s="64"/>
      <c r="E536" s="65"/>
      <c r="F536" s="66"/>
      <c r="G536" s="63"/>
      <c r="H536" s="67"/>
      <c r="I536" s="68"/>
      <c r="J536" s="68"/>
      <c r="K536" s="32"/>
      <c r="L536" s="75">
        <v>536</v>
      </c>
      <c r="M536" s="75"/>
      <c r="N536" s="70"/>
      <c r="O536" s="77" t="s">
        <v>583</v>
      </c>
      <c r="P536" s="79">
        <v>45151.590763888889</v>
      </c>
      <c r="Q536" s="77" t="s">
        <v>1096</v>
      </c>
      <c r="R536" s="77">
        <v>0</v>
      </c>
      <c r="S536" s="77">
        <v>0</v>
      </c>
      <c r="T536" s="77">
        <v>0</v>
      </c>
      <c r="U536" s="77">
        <v>0</v>
      </c>
      <c r="V536" s="77">
        <v>16</v>
      </c>
      <c r="W536" s="82" t="s">
        <v>1892</v>
      </c>
      <c r="X536" s="77"/>
      <c r="Y536" s="77"/>
      <c r="Z536" s="77"/>
      <c r="AA536" s="77"/>
      <c r="AB536" s="77"/>
      <c r="AC536" s="82" t="s">
        <v>2720</v>
      </c>
      <c r="AD536" s="77" t="s">
        <v>2756</v>
      </c>
      <c r="AE536" s="80" t="str">
        <f>HYPERLINK("https://twitter.com/ataorienta/status/1690727584160530432")</f>
        <v>https://twitter.com/ataorienta/status/1690727584160530432</v>
      </c>
      <c r="AF536" s="79">
        <v>45151.590763888889</v>
      </c>
      <c r="AG536" s="85">
        <v>45151</v>
      </c>
      <c r="AH536" s="82" t="s">
        <v>3286</v>
      </c>
      <c r="AI536" s="77"/>
      <c r="AJ536" s="77"/>
      <c r="AK536" s="77"/>
      <c r="AL536" s="77"/>
      <c r="AM536" s="77"/>
      <c r="AN536" s="77"/>
      <c r="AO536" s="77"/>
      <c r="AP536" s="77"/>
      <c r="AQ536" s="77"/>
      <c r="AR536" s="77"/>
      <c r="AS536" s="77"/>
      <c r="AT536" s="77"/>
      <c r="AU536" s="77"/>
      <c r="AV536" s="80" t="str">
        <f>HYPERLINK("https://pbs.twimg.com/profile_images/1693679843404062720/q3ecO34__normal.png")</f>
        <v>https://pbs.twimg.com/profile_images/1693679843404062720/q3ecO34__normal.png</v>
      </c>
      <c r="AW536" s="82" t="s">
        <v>4869</v>
      </c>
      <c r="AX536" s="82" t="s">
        <v>5369</v>
      </c>
      <c r="AY536" s="82" t="s">
        <v>5599</v>
      </c>
      <c r="AZ536" s="82" t="s">
        <v>5653</v>
      </c>
      <c r="BA536" s="82" t="s">
        <v>5615</v>
      </c>
      <c r="BB536" s="82" t="s">
        <v>5615</v>
      </c>
      <c r="BC536" s="82" t="s">
        <v>5653</v>
      </c>
      <c r="BD536" s="82" t="s">
        <v>5599</v>
      </c>
      <c r="BE536" s="77"/>
      <c r="BF536" s="77"/>
      <c r="BG536" s="77"/>
      <c r="BH536" s="77"/>
      <c r="BI536" s="77"/>
    </row>
    <row r="537" spans="1:61" x14ac:dyDescent="0.25">
      <c r="A537" s="62" t="s">
        <v>443</v>
      </c>
      <c r="B537" s="62" t="s">
        <v>443</v>
      </c>
      <c r="C537" s="63"/>
      <c r="D537" s="64"/>
      <c r="E537" s="65"/>
      <c r="F537" s="66"/>
      <c r="G537" s="63"/>
      <c r="H537" s="67"/>
      <c r="I537" s="68"/>
      <c r="J537" s="68"/>
      <c r="K537" s="32"/>
      <c r="L537" s="75">
        <v>537</v>
      </c>
      <c r="M537" s="75"/>
      <c r="N537" s="70"/>
      <c r="O537" s="77" t="s">
        <v>583</v>
      </c>
      <c r="P537" s="79">
        <v>45150.562013888892</v>
      </c>
      <c r="Q537" s="77" t="s">
        <v>1101</v>
      </c>
      <c r="R537" s="77">
        <v>0</v>
      </c>
      <c r="S537" s="77">
        <v>0</v>
      </c>
      <c r="T537" s="77">
        <v>0</v>
      </c>
      <c r="U537" s="77">
        <v>0</v>
      </c>
      <c r="V537" s="77">
        <v>12</v>
      </c>
      <c r="W537" s="82" t="s">
        <v>1897</v>
      </c>
      <c r="X537" s="77"/>
      <c r="Y537" s="77"/>
      <c r="Z537" s="77"/>
      <c r="AA537" s="77"/>
      <c r="AB537" s="77"/>
      <c r="AC537" s="82" t="s">
        <v>2720</v>
      </c>
      <c r="AD537" s="77" t="s">
        <v>2756</v>
      </c>
      <c r="AE537" s="80" t="str">
        <f>HYPERLINK("https://twitter.com/ataorienta/status/1690354774087020544")</f>
        <v>https://twitter.com/ataorienta/status/1690354774087020544</v>
      </c>
      <c r="AF537" s="79">
        <v>45150.562013888892</v>
      </c>
      <c r="AG537" s="85">
        <v>45150</v>
      </c>
      <c r="AH537" s="82" t="s">
        <v>3287</v>
      </c>
      <c r="AI537" s="77"/>
      <c r="AJ537" s="77"/>
      <c r="AK537" s="77"/>
      <c r="AL537" s="77"/>
      <c r="AM537" s="77"/>
      <c r="AN537" s="77"/>
      <c r="AO537" s="77"/>
      <c r="AP537" s="77"/>
      <c r="AQ537" s="77"/>
      <c r="AR537" s="77"/>
      <c r="AS537" s="77"/>
      <c r="AT537" s="77"/>
      <c r="AU537" s="77"/>
      <c r="AV537" s="80" t="str">
        <f>HYPERLINK("https://pbs.twimg.com/profile_images/1693679843404062720/q3ecO34__normal.png")</f>
        <v>https://pbs.twimg.com/profile_images/1693679843404062720/q3ecO34__normal.png</v>
      </c>
      <c r="AW537" s="82" t="s">
        <v>4870</v>
      </c>
      <c r="AX537" s="82" t="s">
        <v>5370</v>
      </c>
      <c r="AY537" s="82" t="s">
        <v>5599</v>
      </c>
      <c r="AZ537" s="82" t="s">
        <v>5654</v>
      </c>
      <c r="BA537" s="82" t="s">
        <v>5615</v>
      </c>
      <c r="BB537" s="82" t="s">
        <v>5615</v>
      </c>
      <c r="BC537" s="82" t="s">
        <v>5654</v>
      </c>
      <c r="BD537" s="82" t="s">
        <v>5599</v>
      </c>
      <c r="BE537" s="77"/>
      <c r="BF537" s="77"/>
      <c r="BG537" s="77"/>
      <c r="BH537" s="77"/>
      <c r="BI537" s="77"/>
    </row>
    <row r="538" spans="1:61" x14ac:dyDescent="0.25">
      <c r="A538" s="62" t="s">
        <v>443</v>
      </c>
      <c r="B538" s="62" t="s">
        <v>443</v>
      </c>
      <c r="C538" s="63"/>
      <c r="D538" s="64"/>
      <c r="E538" s="65"/>
      <c r="F538" s="66"/>
      <c r="G538" s="63"/>
      <c r="H538" s="67"/>
      <c r="I538" s="68"/>
      <c r="J538" s="68"/>
      <c r="K538" s="32"/>
      <c r="L538" s="75">
        <v>538</v>
      </c>
      <c r="M538" s="75"/>
      <c r="N538" s="70"/>
      <c r="O538" s="77" t="s">
        <v>583</v>
      </c>
      <c r="P538" s="79">
        <v>45150.493067129632</v>
      </c>
      <c r="Q538" s="77" t="s">
        <v>1103</v>
      </c>
      <c r="R538" s="77">
        <v>0</v>
      </c>
      <c r="S538" s="77">
        <v>0</v>
      </c>
      <c r="T538" s="77">
        <v>0</v>
      </c>
      <c r="U538" s="77">
        <v>0</v>
      </c>
      <c r="V538" s="77">
        <v>14</v>
      </c>
      <c r="W538" s="82" t="s">
        <v>1899</v>
      </c>
      <c r="X538" s="77"/>
      <c r="Y538" s="77"/>
      <c r="Z538" s="77"/>
      <c r="AA538" s="77"/>
      <c r="AB538" s="77"/>
      <c r="AC538" s="82" t="s">
        <v>2720</v>
      </c>
      <c r="AD538" s="77" t="s">
        <v>2756</v>
      </c>
      <c r="AE538" s="80" t="str">
        <f>HYPERLINK("https://twitter.com/ataorienta/status/1690329792493531136")</f>
        <v>https://twitter.com/ataorienta/status/1690329792493531136</v>
      </c>
      <c r="AF538" s="79">
        <v>45150.493067129632</v>
      </c>
      <c r="AG538" s="85">
        <v>45150</v>
      </c>
      <c r="AH538" s="82" t="s">
        <v>3288</v>
      </c>
      <c r="AI538" s="77"/>
      <c r="AJ538" s="77"/>
      <c r="AK538" s="77"/>
      <c r="AL538" s="77"/>
      <c r="AM538" s="77"/>
      <c r="AN538" s="77"/>
      <c r="AO538" s="77"/>
      <c r="AP538" s="77"/>
      <c r="AQ538" s="77"/>
      <c r="AR538" s="77"/>
      <c r="AS538" s="77"/>
      <c r="AT538" s="77"/>
      <c r="AU538" s="77"/>
      <c r="AV538" s="80" t="str">
        <f>HYPERLINK("https://pbs.twimg.com/profile_images/1693679843404062720/q3ecO34__normal.png")</f>
        <v>https://pbs.twimg.com/profile_images/1693679843404062720/q3ecO34__normal.png</v>
      </c>
      <c r="AW538" s="82" t="s">
        <v>4871</v>
      </c>
      <c r="AX538" s="82" t="s">
        <v>5371</v>
      </c>
      <c r="AY538" s="82" t="s">
        <v>5599</v>
      </c>
      <c r="AZ538" s="82" t="s">
        <v>5655</v>
      </c>
      <c r="BA538" s="82" t="s">
        <v>5615</v>
      </c>
      <c r="BB538" s="82" t="s">
        <v>5615</v>
      </c>
      <c r="BC538" s="82" t="s">
        <v>5655</v>
      </c>
      <c r="BD538" s="82" t="s">
        <v>5599</v>
      </c>
      <c r="BE538" s="77"/>
      <c r="BF538" s="77"/>
      <c r="BG538" s="77"/>
      <c r="BH538" s="77"/>
      <c r="BI538" s="77"/>
    </row>
    <row r="539" spans="1:61" x14ac:dyDescent="0.25">
      <c r="A539" s="62" t="s">
        <v>443</v>
      </c>
      <c r="B539" s="62" t="s">
        <v>443</v>
      </c>
      <c r="C539" s="63"/>
      <c r="D539" s="64"/>
      <c r="E539" s="65"/>
      <c r="F539" s="66"/>
      <c r="G539" s="63"/>
      <c r="H539" s="67"/>
      <c r="I539" s="68"/>
      <c r="J539" s="68"/>
      <c r="K539" s="32"/>
      <c r="L539" s="75">
        <v>539</v>
      </c>
      <c r="M539" s="75"/>
      <c r="N539" s="70"/>
      <c r="O539" s="77" t="s">
        <v>583</v>
      </c>
      <c r="P539" s="79">
        <v>45124.503969907404</v>
      </c>
      <c r="Q539" s="77" t="s">
        <v>1101</v>
      </c>
      <c r="R539" s="77">
        <v>0</v>
      </c>
      <c r="S539" s="77">
        <v>0</v>
      </c>
      <c r="T539" s="77">
        <v>0</v>
      </c>
      <c r="U539" s="77">
        <v>0</v>
      </c>
      <c r="V539" s="77">
        <v>10</v>
      </c>
      <c r="W539" s="82" t="s">
        <v>1897</v>
      </c>
      <c r="X539" s="77"/>
      <c r="Y539" s="77"/>
      <c r="Z539" s="77"/>
      <c r="AA539" s="77"/>
      <c r="AB539" s="77"/>
      <c r="AC539" s="82" t="s">
        <v>2720</v>
      </c>
      <c r="AD539" s="77" t="s">
        <v>2756</v>
      </c>
      <c r="AE539" s="80" t="str">
        <f>HYPERLINK("https://twitter.com/ataorienta/status/1680911655981531136")</f>
        <v>https://twitter.com/ataorienta/status/1680911655981531136</v>
      </c>
      <c r="AF539" s="79">
        <v>45124.503969907404</v>
      </c>
      <c r="AG539" s="85">
        <v>45124</v>
      </c>
      <c r="AH539" s="82" t="s">
        <v>3289</v>
      </c>
      <c r="AI539" s="77"/>
      <c r="AJ539" s="77"/>
      <c r="AK539" s="77"/>
      <c r="AL539" s="77"/>
      <c r="AM539" s="77"/>
      <c r="AN539" s="77"/>
      <c r="AO539" s="77"/>
      <c r="AP539" s="77"/>
      <c r="AQ539" s="77"/>
      <c r="AR539" s="77"/>
      <c r="AS539" s="77"/>
      <c r="AT539" s="77"/>
      <c r="AU539" s="77"/>
      <c r="AV539" s="80" t="str">
        <f>HYPERLINK("https://pbs.twimg.com/profile_images/1693679843404062720/q3ecO34__normal.png")</f>
        <v>https://pbs.twimg.com/profile_images/1693679843404062720/q3ecO34__normal.png</v>
      </c>
      <c r="AW539" s="82" t="s">
        <v>4872</v>
      </c>
      <c r="AX539" s="82" t="s">
        <v>5372</v>
      </c>
      <c r="AY539" s="82" t="s">
        <v>5599</v>
      </c>
      <c r="AZ539" s="82" t="s">
        <v>5656</v>
      </c>
      <c r="BA539" s="82" t="s">
        <v>5615</v>
      </c>
      <c r="BB539" s="82" t="s">
        <v>5615</v>
      </c>
      <c r="BC539" s="82" t="s">
        <v>5656</v>
      </c>
      <c r="BD539" s="82" t="s">
        <v>5599</v>
      </c>
      <c r="BE539" s="77"/>
      <c r="BF539" s="77"/>
      <c r="BG539" s="77"/>
      <c r="BH539" s="77"/>
      <c r="BI539" s="77"/>
    </row>
    <row r="540" spans="1:61" x14ac:dyDescent="0.25">
      <c r="A540" s="62" t="s">
        <v>443</v>
      </c>
      <c r="B540" s="62" t="s">
        <v>443</v>
      </c>
      <c r="C540" s="63"/>
      <c r="D540" s="64"/>
      <c r="E540" s="65"/>
      <c r="F540" s="66"/>
      <c r="G540" s="63"/>
      <c r="H540" s="67"/>
      <c r="I540" s="68"/>
      <c r="J540" s="68"/>
      <c r="K540" s="32"/>
      <c r="L540" s="75">
        <v>540</v>
      </c>
      <c r="M540" s="75"/>
      <c r="N540" s="70"/>
      <c r="O540" s="77" t="s">
        <v>583</v>
      </c>
      <c r="P540" s="79">
        <v>45075.466261574074</v>
      </c>
      <c r="Q540" s="77" t="s">
        <v>1097</v>
      </c>
      <c r="R540" s="77">
        <v>0</v>
      </c>
      <c r="S540" s="77">
        <v>0</v>
      </c>
      <c r="T540" s="77">
        <v>0</v>
      </c>
      <c r="U540" s="77">
        <v>0</v>
      </c>
      <c r="V540" s="77">
        <v>5</v>
      </c>
      <c r="W540" s="82" t="s">
        <v>1893</v>
      </c>
      <c r="X540" s="77"/>
      <c r="Y540" s="77"/>
      <c r="Z540" s="77"/>
      <c r="AA540" s="77"/>
      <c r="AB540" s="77"/>
      <c r="AC540" s="82" t="s">
        <v>2720</v>
      </c>
      <c r="AD540" s="77" t="s">
        <v>2756</v>
      </c>
      <c r="AE540" s="80" t="str">
        <f>HYPERLINK("https://twitter.com/ataorienta/status/1663140985260367874")</f>
        <v>https://twitter.com/ataorienta/status/1663140985260367874</v>
      </c>
      <c r="AF540" s="79">
        <v>45075.466261574074</v>
      </c>
      <c r="AG540" s="85">
        <v>45075</v>
      </c>
      <c r="AH540" s="82" t="s">
        <v>3290</v>
      </c>
      <c r="AI540" s="77"/>
      <c r="AJ540" s="77"/>
      <c r="AK540" s="77"/>
      <c r="AL540" s="77"/>
      <c r="AM540" s="77"/>
      <c r="AN540" s="77"/>
      <c r="AO540" s="77"/>
      <c r="AP540" s="77"/>
      <c r="AQ540" s="77"/>
      <c r="AR540" s="77"/>
      <c r="AS540" s="77"/>
      <c r="AT540" s="77"/>
      <c r="AU540" s="77"/>
      <c r="AV540" s="80" t="str">
        <f>HYPERLINK("https://pbs.twimg.com/profile_images/1693679843404062720/q3ecO34__normal.png")</f>
        <v>https://pbs.twimg.com/profile_images/1693679843404062720/q3ecO34__normal.png</v>
      </c>
      <c r="AW540" s="82" t="s">
        <v>4873</v>
      </c>
      <c r="AX540" s="82" t="s">
        <v>5373</v>
      </c>
      <c r="AY540" s="82" t="s">
        <v>5599</v>
      </c>
      <c r="AZ540" s="82" t="s">
        <v>5657</v>
      </c>
      <c r="BA540" s="82" t="s">
        <v>5615</v>
      </c>
      <c r="BB540" s="82" t="s">
        <v>5615</v>
      </c>
      <c r="BC540" s="82" t="s">
        <v>5657</v>
      </c>
      <c r="BD540" s="82" t="s">
        <v>5599</v>
      </c>
      <c r="BE540" s="77"/>
      <c r="BF540" s="77"/>
      <c r="BG540" s="77"/>
      <c r="BH540" s="77"/>
      <c r="BI540" s="77"/>
    </row>
    <row r="541" spans="1:61" x14ac:dyDescent="0.25">
      <c r="A541" s="62" t="s">
        <v>443</v>
      </c>
      <c r="B541" s="62" t="s">
        <v>443</v>
      </c>
      <c r="C541" s="63"/>
      <c r="D541" s="64"/>
      <c r="E541" s="65"/>
      <c r="F541" s="66"/>
      <c r="G541" s="63"/>
      <c r="H541" s="67"/>
      <c r="I541" s="68"/>
      <c r="J541" s="68"/>
      <c r="K541" s="32"/>
      <c r="L541" s="75">
        <v>541</v>
      </c>
      <c r="M541" s="75"/>
      <c r="N541" s="70"/>
      <c r="O541" s="77" t="s">
        <v>583</v>
      </c>
      <c r="P541" s="79">
        <v>45074.51</v>
      </c>
      <c r="Q541" s="77" t="s">
        <v>1098</v>
      </c>
      <c r="R541" s="77">
        <v>0</v>
      </c>
      <c r="S541" s="77">
        <v>0</v>
      </c>
      <c r="T541" s="77">
        <v>0</v>
      </c>
      <c r="U541" s="77">
        <v>0</v>
      </c>
      <c r="V541" s="77">
        <v>6</v>
      </c>
      <c r="W541" s="82" t="s">
        <v>1894</v>
      </c>
      <c r="X541" s="77"/>
      <c r="Y541" s="77"/>
      <c r="Z541" s="77"/>
      <c r="AA541" s="77"/>
      <c r="AB541" s="77"/>
      <c r="AC541" s="82" t="s">
        <v>2720</v>
      </c>
      <c r="AD541" s="77" t="s">
        <v>2756</v>
      </c>
      <c r="AE541" s="80" t="str">
        <f>HYPERLINK("https://twitter.com/ataorienta/status/1662794448080650243")</f>
        <v>https://twitter.com/ataorienta/status/1662794448080650243</v>
      </c>
      <c r="AF541" s="79">
        <v>45074.51</v>
      </c>
      <c r="AG541" s="85">
        <v>45074</v>
      </c>
      <c r="AH541" s="82" t="s">
        <v>3291</v>
      </c>
      <c r="AI541" s="77"/>
      <c r="AJ541" s="77"/>
      <c r="AK541" s="77"/>
      <c r="AL541" s="77"/>
      <c r="AM541" s="77"/>
      <c r="AN541" s="77"/>
      <c r="AO541" s="77"/>
      <c r="AP541" s="77"/>
      <c r="AQ541" s="77"/>
      <c r="AR541" s="77"/>
      <c r="AS541" s="77"/>
      <c r="AT541" s="77"/>
      <c r="AU541" s="77"/>
      <c r="AV541" s="80" t="str">
        <f>HYPERLINK("https://pbs.twimg.com/profile_images/1693679843404062720/q3ecO34__normal.png")</f>
        <v>https://pbs.twimg.com/profile_images/1693679843404062720/q3ecO34__normal.png</v>
      </c>
      <c r="AW541" s="82" t="s">
        <v>4874</v>
      </c>
      <c r="AX541" s="82" t="s">
        <v>5374</v>
      </c>
      <c r="AY541" s="82" t="s">
        <v>5599</v>
      </c>
      <c r="AZ541" s="82" t="s">
        <v>5658</v>
      </c>
      <c r="BA541" s="82" t="s">
        <v>5615</v>
      </c>
      <c r="BB541" s="82" t="s">
        <v>5615</v>
      </c>
      <c r="BC541" s="82" t="s">
        <v>5658</v>
      </c>
      <c r="BD541" s="82" t="s">
        <v>5599</v>
      </c>
      <c r="BE541" s="77"/>
      <c r="BF541" s="77"/>
      <c r="BG541" s="77"/>
      <c r="BH541" s="77"/>
      <c r="BI541" s="77"/>
    </row>
    <row r="542" spans="1:61" x14ac:dyDescent="0.25">
      <c r="A542" s="62" t="s">
        <v>443</v>
      </c>
      <c r="B542" s="62" t="s">
        <v>443</v>
      </c>
      <c r="C542" s="63"/>
      <c r="D542" s="64"/>
      <c r="E542" s="65"/>
      <c r="F542" s="66"/>
      <c r="G542" s="63"/>
      <c r="H542" s="67"/>
      <c r="I542" s="68"/>
      <c r="J542" s="68"/>
      <c r="K542" s="32"/>
      <c r="L542" s="75">
        <v>542</v>
      </c>
      <c r="M542" s="75"/>
      <c r="N542" s="70"/>
      <c r="O542" s="77" t="s">
        <v>583</v>
      </c>
      <c r="P542" s="79">
        <v>45068.489699074074</v>
      </c>
      <c r="Q542" s="77" t="s">
        <v>1103</v>
      </c>
      <c r="R542" s="77">
        <v>0</v>
      </c>
      <c r="S542" s="77">
        <v>0</v>
      </c>
      <c r="T542" s="77">
        <v>0</v>
      </c>
      <c r="U542" s="77">
        <v>0</v>
      </c>
      <c r="V542" s="77">
        <v>6</v>
      </c>
      <c r="W542" s="82" t="s">
        <v>1899</v>
      </c>
      <c r="X542" s="77"/>
      <c r="Y542" s="77"/>
      <c r="Z542" s="77"/>
      <c r="AA542" s="77"/>
      <c r="AB542" s="77"/>
      <c r="AC542" s="82" t="s">
        <v>2720</v>
      </c>
      <c r="AD542" s="77" t="s">
        <v>2756</v>
      </c>
      <c r="AE542" s="80" t="str">
        <f>HYPERLINK("https://twitter.com/ataorienta/status/1660612763461222400")</f>
        <v>https://twitter.com/ataorienta/status/1660612763461222400</v>
      </c>
      <c r="AF542" s="79">
        <v>45068.489699074074</v>
      </c>
      <c r="AG542" s="85">
        <v>45068</v>
      </c>
      <c r="AH542" s="82" t="s">
        <v>3292</v>
      </c>
      <c r="AI542" s="77"/>
      <c r="AJ542" s="77"/>
      <c r="AK542" s="77"/>
      <c r="AL542" s="77"/>
      <c r="AM542" s="77"/>
      <c r="AN542" s="77"/>
      <c r="AO542" s="77"/>
      <c r="AP542" s="77"/>
      <c r="AQ542" s="77"/>
      <c r="AR542" s="77"/>
      <c r="AS542" s="77"/>
      <c r="AT542" s="77"/>
      <c r="AU542" s="77"/>
      <c r="AV542" s="80" t="str">
        <f>HYPERLINK("https://pbs.twimg.com/profile_images/1693679843404062720/q3ecO34__normal.png")</f>
        <v>https://pbs.twimg.com/profile_images/1693679843404062720/q3ecO34__normal.png</v>
      </c>
      <c r="AW542" s="82" t="s">
        <v>4875</v>
      </c>
      <c r="AX542" s="82" t="s">
        <v>5375</v>
      </c>
      <c r="AY542" s="82" t="s">
        <v>5599</v>
      </c>
      <c r="AZ542" s="82" t="s">
        <v>5659</v>
      </c>
      <c r="BA542" s="82" t="s">
        <v>5615</v>
      </c>
      <c r="BB542" s="82" t="s">
        <v>5615</v>
      </c>
      <c r="BC542" s="82" t="s">
        <v>5659</v>
      </c>
      <c r="BD542" s="82" t="s">
        <v>5599</v>
      </c>
      <c r="BE542" s="77"/>
      <c r="BF542" s="77"/>
      <c r="BG542" s="77"/>
      <c r="BH542" s="77"/>
      <c r="BI542" s="77"/>
    </row>
    <row r="543" spans="1:61" x14ac:dyDescent="0.25">
      <c r="A543" s="62" t="s">
        <v>443</v>
      </c>
      <c r="B543" s="62" t="s">
        <v>443</v>
      </c>
      <c r="C543" s="63"/>
      <c r="D543" s="64"/>
      <c r="E543" s="65"/>
      <c r="F543" s="66"/>
      <c r="G543" s="63"/>
      <c r="H543" s="67"/>
      <c r="I543" s="68"/>
      <c r="J543" s="68"/>
      <c r="K543" s="32"/>
      <c r="L543" s="75">
        <v>543</v>
      </c>
      <c r="M543" s="75"/>
      <c r="N543" s="70"/>
      <c r="O543" s="77" t="s">
        <v>583</v>
      </c>
      <c r="P543" s="79">
        <v>45047.522893518515</v>
      </c>
      <c r="Q543" s="77" t="s">
        <v>1098</v>
      </c>
      <c r="R543" s="77">
        <v>0</v>
      </c>
      <c r="S543" s="77">
        <v>0</v>
      </c>
      <c r="T543" s="77">
        <v>0</v>
      </c>
      <c r="U543" s="77">
        <v>0</v>
      </c>
      <c r="V543" s="77">
        <v>6</v>
      </c>
      <c r="W543" s="82" t="s">
        <v>1894</v>
      </c>
      <c r="X543" s="77"/>
      <c r="Y543" s="77"/>
      <c r="Z543" s="77"/>
      <c r="AA543" s="77"/>
      <c r="AB543" s="77"/>
      <c r="AC543" s="82" t="s">
        <v>2720</v>
      </c>
      <c r="AD543" s="77" t="s">
        <v>2756</v>
      </c>
      <c r="AE543" s="80" t="str">
        <f>HYPERLINK("https://twitter.com/ataorienta/status/1653014651003699200")</f>
        <v>https://twitter.com/ataorienta/status/1653014651003699200</v>
      </c>
      <c r="AF543" s="79">
        <v>45047.522893518515</v>
      </c>
      <c r="AG543" s="85">
        <v>45047</v>
      </c>
      <c r="AH543" s="82" t="s">
        <v>3293</v>
      </c>
      <c r="AI543" s="77"/>
      <c r="AJ543" s="77"/>
      <c r="AK543" s="77"/>
      <c r="AL543" s="77"/>
      <c r="AM543" s="77"/>
      <c r="AN543" s="77"/>
      <c r="AO543" s="77"/>
      <c r="AP543" s="77"/>
      <c r="AQ543" s="77"/>
      <c r="AR543" s="77"/>
      <c r="AS543" s="77"/>
      <c r="AT543" s="77"/>
      <c r="AU543" s="77"/>
      <c r="AV543" s="80" t="str">
        <f>HYPERLINK("https://pbs.twimg.com/profile_images/1693679843404062720/q3ecO34__normal.png")</f>
        <v>https://pbs.twimg.com/profile_images/1693679843404062720/q3ecO34__normal.png</v>
      </c>
      <c r="AW543" s="82" t="s">
        <v>4876</v>
      </c>
      <c r="AX543" s="82" t="s">
        <v>5376</v>
      </c>
      <c r="AY543" s="82" t="s">
        <v>5599</v>
      </c>
      <c r="AZ543" s="82" t="s">
        <v>5660</v>
      </c>
      <c r="BA543" s="82" t="s">
        <v>5615</v>
      </c>
      <c r="BB543" s="82" t="s">
        <v>5615</v>
      </c>
      <c r="BC543" s="82" t="s">
        <v>5660</v>
      </c>
      <c r="BD543" s="82" t="s">
        <v>5599</v>
      </c>
      <c r="BE543" s="77"/>
      <c r="BF543" s="77"/>
      <c r="BG543" s="77"/>
      <c r="BH543" s="77"/>
      <c r="BI543" s="77"/>
    </row>
    <row r="544" spans="1:61" x14ac:dyDescent="0.25">
      <c r="A544" s="62" t="s">
        <v>443</v>
      </c>
      <c r="B544" s="62" t="s">
        <v>443</v>
      </c>
      <c r="C544" s="63"/>
      <c r="D544" s="64"/>
      <c r="E544" s="65"/>
      <c r="F544" s="66"/>
      <c r="G544" s="63"/>
      <c r="H544" s="67"/>
      <c r="I544" s="68"/>
      <c r="J544" s="68"/>
      <c r="K544" s="32"/>
      <c r="L544" s="75">
        <v>544</v>
      </c>
      <c r="M544" s="75"/>
      <c r="N544" s="70"/>
      <c r="O544" s="77" t="s">
        <v>583</v>
      </c>
      <c r="P544" s="79">
        <v>45187.491087962961</v>
      </c>
      <c r="Q544" s="77" t="s">
        <v>1101</v>
      </c>
      <c r="R544" s="77">
        <v>0</v>
      </c>
      <c r="S544" s="77">
        <v>0</v>
      </c>
      <c r="T544" s="77">
        <v>0</v>
      </c>
      <c r="U544" s="77">
        <v>0</v>
      </c>
      <c r="V544" s="77">
        <v>7</v>
      </c>
      <c r="W544" s="82" t="s">
        <v>1897</v>
      </c>
      <c r="X544" s="77"/>
      <c r="Y544" s="77"/>
      <c r="Z544" s="77"/>
      <c r="AA544" s="77"/>
      <c r="AB544" s="77"/>
      <c r="AC544" s="82" t="s">
        <v>2720</v>
      </c>
      <c r="AD544" s="77" t="s">
        <v>2756</v>
      </c>
      <c r="AE544" s="80" t="str">
        <f>HYPERLINK("https://twitter.com/ataorienta/status/1703737424197664796")</f>
        <v>https://twitter.com/ataorienta/status/1703737424197664796</v>
      </c>
      <c r="AF544" s="79">
        <v>45187.491087962961</v>
      </c>
      <c r="AG544" s="85">
        <v>45187</v>
      </c>
      <c r="AH544" s="82" t="s">
        <v>3294</v>
      </c>
      <c r="AI544" s="77"/>
      <c r="AJ544" s="77"/>
      <c r="AK544" s="77"/>
      <c r="AL544" s="77"/>
      <c r="AM544" s="77"/>
      <c r="AN544" s="77"/>
      <c r="AO544" s="77"/>
      <c r="AP544" s="77"/>
      <c r="AQ544" s="77"/>
      <c r="AR544" s="77"/>
      <c r="AS544" s="77"/>
      <c r="AT544" s="77"/>
      <c r="AU544" s="77"/>
      <c r="AV544" s="80" t="str">
        <f>HYPERLINK("https://pbs.twimg.com/profile_images/1693679843404062720/q3ecO34__normal.png")</f>
        <v>https://pbs.twimg.com/profile_images/1693679843404062720/q3ecO34__normal.png</v>
      </c>
      <c r="AW544" s="82" t="s">
        <v>4877</v>
      </c>
      <c r="AX544" s="82" t="s">
        <v>5377</v>
      </c>
      <c r="AY544" s="82" t="s">
        <v>5599</v>
      </c>
      <c r="AZ544" s="82" t="s">
        <v>5661</v>
      </c>
      <c r="BA544" s="82" t="s">
        <v>5615</v>
      </c>
      <c r="BB544" s="82" t="s">
        <v>5615</v>
      </c>
      <c r="BC544" s="82" t="s">
        <v>5661</v>
      </c>
      <c r="BD544" s="82" t="s">
        <v>5599</v>
      </c>
      <c r="BE544" s="77"/>
      <c r="BF544" s="77"/>
      <c r="BG544" s="77"/>
      <c r="BH544" s="77"/>
      <c r="BI544" s="77"/>
    </row>
    <row r="545" spans="1:61" x14ac:dyDescent="0.25">
      <c r="A545" s="62" t="s">
        <v>443</v>
      </c>
      <c r="B545" s="62" t="s">
        <v>443</v>
      </c>
      <c r="C545" s="63"/>
      <c r="D545" s="64"/>
      <c r="E545" s="65"/>
      <c r="F545" s="66"/>
      <c r="G545" s="63"/>
      <c r="H545" s="67"/>
      <c r="I545" s="68"/>
      <c r="J545" s="68"/>
      <c r="K545" s="32"/>
      <c r="L545" s="75">
        <v>545</v>
      </c>
      <c r="M545" s="75"/>
      <c r="N545" s="70"/>
      <c r="O545" s="77" t="s">
        <v>583</v>
      </c>
      <c r="P545" s="79">
        <v>45184.931284722225</v>
      </c>
      <c r="Q545" s="77" t="s">
        <v>1103</v>
      </c>
      <c r="R545" s="77">
        <v>0</v>
      </c>
      <c r="S545" s="77">
        <v>1</v>
      </c>
      <c r="T545" s="77">
        <v>0</v>
      </c>
      <c r="U545" s="77">
        <v>0</v>
      </c>
      <c r="V545" s="77">
        <v>17</v>
      </c>
      <c r="W545" s="82" t="s">
        <v>1899</v>
      </c>
      <c r="X545" s="77"/>
      <c r="Y545" s="77"/>
      <c r="Z545" s="77"/>
      <c r="AA545" s="77"/>
      <c r="AB545" s="77"/>
      <c r="AC545" s="82" t="s">
        <v>2720</v>
      </c>
      <c r="AD545" s="77" t="s">
        <v>2756</v>
      </c>
      <c r="AE545" s="80" t="str">
        <f>HYPERLINK("https://twitter.com/ataorienta/status/1702809781222654191")</f>
        <v>https://twitter.com/ataorienta/status/1702809781222654191</v>
      </c>
      <c r="AF545" s="79">
        <v>45184.931284722225</v>
      </c>
      <c r="AG545" s="85">
        <v>45184</v>
      </c>
      <c r="AH545" s="82" t="s">
        <v>3295</v>
      </c>
      <c r="AI545" s="77"/>
      <c r="AJ545" s="77"/>
      <c r="AK545" s="77"/>
      <c r="AL545" s="77"/>
      <c r="AM545" s="77"/>
      <c r="AN545" s="77"/>
      <c r="AO545" s="77"/>
      <c r="AP545" s="77"/>
      <c r="AQ545" s="77"/>
      <c r="AR545" s="77"/>
      <c r="AS545" s="77"/>
      <c r="AT545" s="77"/>
      <c r="AU545" s="77"/>
      <c r="AV545" s="80" t="str">
        <f>HYPERLINK("https://pbs.twimg.com/profile_images/1693679843404062720/q3ecO34__normal.png")</f>
        <v>https://pbs.twimg.com/profile_images/1693679843404062720/q3ecO34__normal.png</v>
      </c>
      <c r="AW545" s="82" t="s">
        <v>4878</v>
      </c>
      <c r="AX545" s="82" t="s">
        <v>5378</v>
      </c>
      <c r="AY545" s="82" t="s">
        <v>5599</v>
      </c>
      <c r="AZ545" s="82" t="s">
        <v>5662</v>
      </c>
      <c r="BA545" s="82" t="s">
        <v>5615</v>
      </c>
      <c r="BB545" s="82" t="s">
        <v>5615</v>
      </c>
      <c r="BC545" s="82" t="s">
        <v>5662</v>
      </c>
      <c r="BD545" s="82" t="s">
        <v>5599</v>
      </c>
      <c r="BE545" s="77"/>
      <c r="BF545" s="77"/>
      <c r="BG545" s="77"/>
      <c r="BH545" s="77"/>
      <c r="BI545" s="77"/>
    </row>
    <row r="546" spans="1:61" x14ac:dyDescent="0.25">
      <c r="A546" s="62" t="s">
        <v>443</v>
      </c>
      <c r="B546" s="62" t="s">
        <v>443</v>
      </c>
      <c r="C546" s="63"/>
      <c r="D546" s="64"/>
      <c r="E546" s="65"/>
      <c r="F546" s="66"/>
      <c r="G546" s="63"/>
      <c r="H546" s="67"/>
      <c r="I546" s="68"/>
      <c r="J546" s="68"/>
      <c r="K546" s="32"/>
      <c r="L546" s="75">
        <v>546</v>
      </c>
      <c r="M546" s="75"/>
      <c r="N546" s="70"/>
      <c r="O546" s="77" t="s">
        <v>583</v>
      </c>
      <c r="P546" s="79">
        <v>45152.544062499997</v>
      </c>
      <c r="Q546" s="77" t="s">
        <v>1101</v>
      </c>
      <c r="R546" s="77">
        <v>0</v>
      </c>
      <c r="S546" s="77">
        <v>0</v>
      </c>
      <c r="T546" s="77">
        <v>0</v>
      </c>
      <c r="U546" s="77">
        <v>0</v>
      </c>
      <c r="V546" s="77">
        <v>6</v>
      </c>
      <c r="W546" s="82" t="s">
        <v>1897</v>
      </c>
      <c r="X546" s="77"/>
      <c r="Y546" s="77"/>
      <c r="Z546" s="77"/>
      <c r="AA546" s="77"/>
      <c r="AB546" s="77"/>
      <c r="AC546" s="82" t="s">
        <v>2720</v>
      </c>
      <c r="AD546" s="77" t="s">
        <v>2756</v>
      </c>
      <c r="AE546" s="80" t="str">
        <f>HYPERLINK("https://twitter.com/ataorienta/status/1691073045392158720")</f>
        <v>https://twitter.com/ataorienta/status/1691073045392158720</v>
      </c>
      <c r="AF546" s="79">
        <v>45152.544062499997</v>
      </c>
      <c r="AG546" s="85">
        <v>45152</v>
      </c>
      <c r="AH546" s="82" t="s">
        <v>3296</v>
      </c>
      <c r="AI546" s="77"/>
      <c r="AJ546" s="77"/>
      <c r="AK546" s="77"/>
      <c r="AL546" s="77"/>
      <c r="AM546" s="77"/>
      <c r="AN546" s="77"/>
      <c r="AO546" s="77"/>
      <c r="AP546" s="77"/>
      <c r="AQ546" s="77"/>
      <c r="AR546" s="77"/>
      <c r="AS546" s="77"/>
      <c r="AT546" s="77"/>
      <c r="AU546" s="77"/>
      <c r="AV546" s="80" t="str">
        <f>HYPERLINK("https://pbs.twimg.com/profile_images/1693679843404062720/q3ecO34__normal.png")</f>
        <v>https://pbs.twimg.com/profile_images/1693679843404062720/q3ecO34__normal.png</v>
      </c>
      <c r="AW546" s="82" t="s">
        <v>4879</v>
      </c>
      <c r="AX546" s="82" t="s">
        <v>5379</v>
      </c>
      <c r="AY546" s="82" t="s">
        <v>5599</v>
      </c>
      <c r="AZ546" s="82" t="s">
        <v>5663</v>
      </c>
      <c r="BA546" s="82" t="s">
        <v>5615</v>
      </c>
      <c r="BB546" s="82" t="s">
        <v>5615</v>
      </c>
      <c r="BC546" s="82" t="s">
        <v>5663</v>
      </c>
      <c r="BD546" s="82" t="s">
        <v>5599</v>
      </c>
      <c r="BE546" s="77"/>
      <c r="BF546" s="77"/>
      <c r="BG546" s="77"/>
      <c r="BH546" s="77"/>
      <c r="BI546" s="77"/>
    </row>
    <row r="547" spans="1:61" x14ac:dyDescent="0.25">
      <c r="A547" s="62" t="s">
        <v>443</v>
      </c>
      <c r="B547" s="62" t="s">
        <v>443</v>
      </c>
      <c r="C547" s="63"/>
      <c r="D547" s="64"/>
      <c r="E547" s="65"/>
      <c r="F547" s="66"/>
      <c r="G547" s="63"/>
      <c r="H547" s="67"/>
      <c r="I547" s="68"/>
      <c r="J547" s="68"/>
      <c r="K547" s="32"/>
      <c r="L547" s="75">
        <v>547</v>
      </c>
      <c r="M547" s="75"/>
      <c r="N547" s="70"/>
      <c r="O547" s="77" t="s">
        <v>583</v>
      </c>
      <c r="P547" s="79">
        <v>45145.496967592589</v>
      </c>
      <c r="Q547" s="77" t="s">
        <v>1104</v>
      </c>
      <c r="R547" s="77">
        <v>0</v>
      </c>
      <c r="S547" s="77">
        <v>0</v>
      </c>
      <c r="T547" s="77">
        <v>0</v>
      </c>
      <c r="U547" s="77">
        <v>0</v>
      </c>
      <c r="V547" s="77">
        <v>3</v>
      </c>
      <c r="W547" s="82" t="s">
        <v>1900</v>
      </c>
      <c r="X547" s="77"/>
      <c r="Y547" s="77"/>
      <c r="Z547" s="77"/>
      <c r="AA547" s="77"/>
      <c r="AB547" s="77"/>
      <c r="AC547" s="82" t="s">
        <v>2720</v>
      </c>
      <c r="AD547" s="77" t="s">
        <v>2756</v>
      </c>
      <c r="AE547" s="80" t="str">
        <f>HYPERLINK("https://twitter.com/ataorienta/status/1688519263865225216")</f>
        <v>https://twitter.com/ataorienta/status/1688519263865225216</v>
      </c>
      <c r="AF547" s="79">
        <v>45145.496967592589</v>
      </c>
      <c r="AG547" s="85">
        <v>45145</v>
      </c>
      <c r="AH547" s="82" t="s">
        <v>3297</v>
      </c>
      <c r="AI547" s="77"/>
      <c r="AJ547" s="77"/>
      <c r="AK547" s="77"/>
      <c r="AL547" s="77"/>
      <c r="AM547" s="77"/>
      <c r="AN547" s="77"/>
      <c r="AO547" s="77"/>
      <c r="AP547" s="77"/>
      <c r="AQ547" s="77"/>
      <c r="AR547" s="77"/>
      <c r="AS547" s="77"/>
      <c r="AT547" s="77"/>
      <c r="AU547" s="77"/>
      <c r="AV547" s="80" t="str">
        <f>HYPERLINK("https://pbs.twimg.com/profile_images/1693679843404062720/q3ecO34__normal.png")</f>
        <v>https://pbs.twimg.com/profile_images/1693679843404062720/q3ecO34__normal.png</v>
      </c>
      <c r="AW547" s="82" t="s">
        <v>4880</v>
      </c>
      <c r="AX547" s="82" t="s">
        <v>5380</v>
      </c>
      <c r="AY547" s="82" t="s">
        <v>5599</v>
      </c>
      <c r="AZ547" s="82" t="s">
        <v>5664</v>
      </c>
      <c r="BA547" s="82" t="s">
        <v>5615</v>
      </c>
      <c r="BB547" s="82" t="s">
        <v>5615</v>
      </c>
      <c r="BC547" s="82" t="s">
        <v>5664</v>
      </c>
      <c r="BD547" s="82" t="s">
        <v>5599</v>
      </c>
      <c r="BE547" s="77"/>
      <c r="BF547" s="77"/>
      <c r="BG547" s="77"/>
      <c r="BH547" s="77"/>
      <c r="BI547" s="77"/>
    </row>
    <row r="548" spans="1:61" x14ac:dyDescent="0.25">
      <c r="A548" s="62" t="s">
        <v>443</v>
      </c>
      <c r="B548" s="62" t="s">
        <v>443</v>
      </c>
      <c r="C548" s="63"/>
      <c r="D548" s="64"/>
      <c r="E548" s="65"/>
      <c r="F548" s="66"/>
      <c r="G548" s="63"/>
      <c r="H548" s="67"/>
      <c r="I548" s="68"/>
      <c r="J548" s="68"/>
      <c r="K548" s="32"/>
      <c r="L548" s="75">
        <v>548</v>
      </c>
      <c r="M548" s="75"/>
      <c r="N548" s="70"/>
      <c r="O548" s="77" t="s">
        <v>583</v>
      </c>
      <c r="P548" s="79">
        <v>45143.632106481484</v>
      </c>
      <c r="Q548" s="77" t="s">
        <v>1102</v>
      </c>
      <c r="R548" s="77">
        <v>0</v>
      </c>
      <c r="S548" s="77">
        <v>0</v>
      </c>
      <c r="T548" s="77">
        <v>0</v>
      </c>
      <c r="U548" s="77">
        <v>0</v>
      </c>
      <c r="V548" s="77">
        <v>10</v>
      </c>
      <c r="W548" s="82" t="s">
        <v>1898</v>
      </c>
      <c r="X548" s="77"/>
      <c r="Y548" s="77"/>
      <c r="Z548" s="77"/>
      <c r="AA548" s="77"/>
      <c r="AB548" s="77"/>
      <c r="AC548" s="82" t="s">
        <v>2720</v>
      </c>
      <c r="AD548" s="77" t="s">
        <v>2756</v>
      </c>
      <c r="AE548" s="80" t="str">
        <f>HYPERLINK("https://twitter.com/ataorienta/status/1687843461318209536")</f>
        <v>https://twitter.com/ataorienta/status/1687843461318209536</v>
      </c>
      <c r="AF548" s="79">
        <v>45143.632106481484</v>
      </c>
      <c r="AG548" s="85">
        <v>45143</v>
      </c>
      <c r="AH548" s="82" t="s">
        <v>3298</v>
      </c>
      <c r="AI548" s="77"/>
      <c r="AJ548" s="77"/>
      <c r="AK548" s="77"/>
      <c r="AL548" s="77"/>
      <c r="AM548" s="77"/>
      <c r="AN548" s="77"/>
      <c r="AO548" s="77"/>
      <c r="AP548" s="77"/>
      <c r="AQ548" s="77"/>
      <c r="AR548" s="77"/>
      <c r="AS548" s="77"/>
      <c r="AT548" s="77"/>
      <c r="AU548" s="77"/>
      <c r="AV548" s="80" t="str">
        <f>HYPERLINK("https://pbs.twimg.com/profile_images/1693679843404062720/q3ecO34__normal.png")</f>
        <v>https://pbs.twimg.com/profile_images/1693679843404062720/q3ecO34__normal.png</v>
      </c>
      <c r="AW548" s="82" t="s">
        <v>4881</v>
      </c>
      <c r="AX548" s="82" t="s">
        <v>5381</v>
      </c>
      <c r="AY548" s="82" t="s">
        <v>5599</v>
      </c>
      <c r="AZ548" s="82" t="s">
        <v>5665</v>
      </c>
      <c r="BA548" s="82" t="s">
        <v>5615</v>
      </c>
      <c r="BB548" s="82" t="s">
        <v>5615</v>
      </c>
      <c r="BC548" s="82" t="s">
        <v>5665</v>
      </c>
      <c r="BD548" s="82" t="s">
        <v>5599</v>
      </c>
      <c r="BE548" s="77"/>
      <c r="BF548" s="77"/>
      <c r="BG548" s="77"/>
      <c r="BH548" s="77"/>
      <c r="BI548" s="77"/>
    </row>
    <row r="549" spans="1:61" x14ac:dyDescent="0.25">
      <c r="A549" s="62" t="s">
        <v>443</v>
      </c>
      <c r="B549" s="62" t="s">
        <v>443</v>
      </c>
      <c r="C549" s="63"/>
      <c r="D549" s="64"/>
      <c r="E549" s="65"/>
      <c r="F549" s="66"/>
      <c r="G549" s="63"/>
      <c r="H549" s="67"/>
      <c r="I549" s="68"/>
      <c r="J549" s="68"/>
      <c r="K549" s="32"/>
      <c r="L549" s="75">
        <v>549</v>
      </c>
      <c r="M549" s="75"/>
      <c r="N549" s="70"/>
      <c r="O549" s="77" t="s">
        <v>583</v>
      </c>
      <c r="P549" s="79">
        <v>45191.911747685182</v>
      </c>
      <c r="Q549" s="77" t="s">
        <v>1105</v>
      </c>
      <c r="R549" s="77">
        <v>0</v>
      </c>
      <c r="S549" s="77">
        <v>0</v>
      </c>
      <c r="T549" s="77">
        <v>0</v>
      </c>
      <c r="U549" s="77">
        <v>0</v>
      </c>
      <c r="V549" s="77">
        <v>1</v>
      </c>
      <c r="W549" s="82" t="s">
        <v>1901</v>
      </c>
      <c r="X549" s="77"/>
      <c r="Y549" s="77"/>
      <c r="Z549" s="77"/>
      <c r="AA549" s="77"/>
      <c r="AB549" s="77"/>
      <c r="AC549" s="82" t="s">
        <v>2720</v>
      </c>
      <c r="AD549" s="77" t="s">
        <v>2756</v>
      </c>
      <c r="AE549" s="80" t="str">
        <f>HYPERLINK("https://twitter.com/ataorienta/status/1705339418003795974")</f>
        <v>https://twitter.com/ataorienta/status/1705339418003795974</v>
      </c>
      <c r="AF549" s="79">
        <v>45191.911747685182</v>
      </c>
      <c r="AG549" s="85">
        <v>45191</v>
      </c>
      <c r="AH549" s="82" t="s">
        <v>3299</v>
      </c>
      <c r="AI549" s="77"/>
      <c r="AJ549" s="77"/>
      <c r="AK549" s="77"/>
      <c r="AL549" s="77"/>
      <c r="AM549" s="77"/>
      <c r="AN549" s="77"/>
      <c r="AO549" s="77"/>
      <c r="AP549" s="77"/>
      <c r="AQ549" s="77"/>
      <c r="AR549" s="77"/>
      <c r="AS549" s="77"/>
      <c r="AT549" s="77"/>
      <c r="AU549" s="77"/>
      <c r="AV549" s="80" t="str">
        <f>HYPERLINK("https://pbs.twimg.com/profile_images/1693679843404062720/q3ecO34__normal.png")</f>
        <v>https://pbs.twimg.com/profile_images/1693679843404062720/q3ecO34__normal.png</v>
      </c>
      <c r="AW549" s="82" t="s">
        <v>4882</v>
      </c>
      <c r="AX549" s="82" t="s">
        <v>5382</v>
      </c>
      <c r="AY549" s="82" t="s">
        <v>5599</v>
      </c>
      <c r="AZ549" s="82" t="s">
        <v>5666</v>
      </c>
      <c r="BA549" s="82" t="s">
        <v>5615</v>
      </c>
      <c r="BB549" s="82" t="s">
        <v>5615</v>
      </c>
      <c r="BC549" s="82" t="s">
        <v>5666</v>
      </c>
      <c r="BD549" s="82" t="s">
        <v>5599</v>
      </c>
      <c r="BE549" s="77"/>
      <c r="BF549" s="77"/>
      <c r="BG549" s="77"/>
      <c r="BH549" s="77"/>
      <c r="BI549" s="77"/>
    </row>
    <row r="550" spans="1:61" x14ac:dyDescent="0.25">
      <c r="A550" s="62" t="s">
        <v>443</v>
      </c>
      <c r="B550" s="62" t="s">
        <v>443</v>
      </c>
      <c r="C550" s="63"/>
      <c r="D550" s="64"/>
      <c r="E550" s="65"/>
      <c r="F550" s="66"/>
      <c r="G550" s="63"/>
      <c r="H550" s="67"/>
      <c r="I550" s="68"/>
      <c r="J550" s="68"/>
      <c r="K550" s="32"/>
      <c r="L550" s="75">
        <v>550</v>
      </c>
      <c r="M550" s="75"/>
      <c r="N550" s="70"/>
      <c r="O550" s="77" t="s">
        <v>583</v>
      </c>
      <c r="P550" s="79">
        <v>45138.497789351852</v>
      </c>
      <c r="Q550" s="77" t="s">
        <v>1101</v>
      </c>
      <c r="R550" s="77">
        <v>0</v>
      </c>
      <c r="S550" s="77">
        <v>0</v>
      </c>
      <c r="T550" s="77">
        <v>0</v>
      </c>
      <c r="U550" s="77">
        <v>0</v>
      </c>
      <c r="V550" s="77">
        <v>10</v>
      </c>
      <c r="W550" s="82" t="s">
        <v>1897</v>
      </c>
      <c r="X550" s="77"/>
      <c r="Y550" s="77"/>
      <c r="Z550" s="77"/>
      <c r="AA550" s="77"/>
      <c r="AB550" s="77"/>
      <c r="AC550" s="82" t="s">
        <v>2720</v>
      </c>
      <c r="AD550" s="77" t="s">
        <v>2756</v>
      </c>
      <c r="AE550" s="80" t="str">
        <f>HYPERLINK("https://twitter.com/ataorienta/status/1685982848778420224")</f>
        <v>https://twitter.com/ataorienta/status/1685982848778420224</v>
      </c>
      <c r="AF550" s="79">
        <v>45138.497789351852</v>
      </c>
      <c r="AG550" s="85">
        <v>45138</v>
      </c>
      <c r="AH550" s="82" t="s">
        <v>3300</v>
      </c>
      <c r="AI550" s="77"/>
      <c r="AJ550" s="77"/>
      <c r="AK550" s="77"/>
      <c r="AL550" s="77"/>
      <c r="AM550" s="77"/>
      <c r="AN550" s="77"/>
      <c r="AO550" s="77"/>
      <c r="AP550" s="77"/>
      <c r="AQ550" s="77"/>
      <c r="AR550" s="77"/>
      <c r="AS550" s="77"/>
      <c r="AT550" s="77"/>
      <c r="AU550" s="77"/>
      <c r="AV550" s="80" t="str">
        <f>HYPERLINK("https://pbs.twimg.com/profile_images/1693679843404062720/q3ecO34__normal.png")</f>
        <v>https://pbs.twimg.com/profile_images/1693679843404062720/q3ecO34__normal.png</v>
      </c>
      <c r="AW550" s="82" t="s">
        <v>4883</v>
      </c>
      <c r="AX550" s="82" t="s">
        <v>5383</v>
      </c>
      <c r="AY550" s="82" t="s">
        <v>5599</v>
      </c>
      <c r="AZ550" s="82" t="s">
        <v>5667</v>
      </c>
      <c r="BA550" s="82" t="s">
        <v>5615</v>
      </c>
      <c r="BB550" s="82" t="s">
        <v>5615</v>
      </c>
      <c r="BC550" s="82" t="s">
        <v>5667</v>
      </c>
      <c r="BD550" s="82" t="s">
        <v>5599</v>
      </c>
      <c r="BE550" s="77"/>
      <c r="BF550" s="77"/>
      <c r="BG550" s="77"/>
      <c r="BH550" s="77"/>
      <c r="BI550" s="77"/>
    </row>
    <row r="551" spans="1:61" x14ac:dyDescent="0.25">
      <c r="A551" s="62" t="s">
        <v>443</v>
      </c>
      <c r="B551" s="62" t="s">
        <v>443</v>
      </c>
      <c r="C551" s="63"/>
      <c r="D551" s="64"/>
      <c r="E551" s="65"/>
      <c r="F551" s="66"/>
      <c r="G551" s="63"/>
      <c r="H551" s="67"/>
      <c r="I551" s="68"/>
      <c r="J551" s="68"/>
      <c r="K551" s="32"/>
      <c r="L551" s="75">
        <v>551</v>
      </c>
      <c r="M551" s="75"/>
      <c r="N551" s="70"/>
      <c r="O551" s="77" t="s">
        <v>583</v>
      </c>
      <c r="P551" s="79">
        <v>45131.488206018519</v>
      </c>
      <c r="Q551" s="77" t="s">
        <v>1101</v>
      </c>
      <c r="R551" s="77">
        <v>0</v>
      </c>
      <c r="S551" s="77">
        <v>0</v>
      </c>
      <c r="T551" s="77">
        <v>0</v>
      </c>
      <c r="U551" s="77">
        <v>0</v>
      </c>
      <c r="V551" s="77">
        <v>12</v>
      </c>
      <c r="W551" s="82" t="s">
        <v>1897</v>
      </c>
      <c r="X551" s="77"/>
      <c r="Y551" s="77"/>
      <c r="Z551" s="77"/>
      <c r="AA551" s="77"/>
      <c r="AB551" s="77"/>
      <c r="AC551" s="82" t="s">
        <v>2720</v>
      </c>
      <c r="AD551" s="77" t="s">
        <v>2756</v>
      </c>
      <c r="AE551" s="80" t="str">
        <f>HYPERLINK("https://twitter.com/ataorienta/status/1683442659560390656")</f>
        <v>https://twitter.com/ataorienta/status/1683442659560390656</v>
      </c>
      <c r="AF551" s="79">
        <v>45131.488206018519</v>
      </c>
      <c r="AG551" s="85">
        <v>45131</v>
      </c>
      <c r="AH551" s="82" t="s">
        <v>3301</v>
      </c>
      <c r="AI551" s="77"/>
      <c r="AJ551" s="77"/>
      <c r="AK551" s="77"/>
      <c r="AL551" s="77"/>
      <c r="AM551" s="77"/>
      <c r="AN551" s="77"/>
      <c r="AO551" s="77"/>
      <c r="AP551" s="77"/>
      <c r="AQ551" s="77"/>
      <c r="AR551" s="77"/>
      <c r="AS551" s="77"/>
      <c r="AT551" s="77"/>
      <c r="AU551" s="77"/>
      <c r="AV551" s="80" t="str">
        <f>HYPERLINK("https://pbs.twimg.com/profile_images/1693679843404062720/q3ecO34__normal.png")</f>
        <v>https://pbs.twimg.com/profile_images/1693679843404062720/q3ecO34__normal.png</v>
      </c>
      <c r="AW551" s="82" t="s">
        <v>4884</v>
      </c>
      <c r="AX551" s="82" t="s">
        <v>5384</v>
      </c>
      <c r="AY551" s="82" t="s">
        <v>5599</v>
      </c>
      <c r="AZ551" s="82" t="s">
        <v>5668</v>
      </c>
      <c r="BA551" s="82" t="s">
        <v>5615</v>
      </c>
      <c r="BB551" s="82" t="s">
        <v>5615</v>
      </c>
      <c r="BC551" s="82" t="s">
        <v>5668</v>
      </c>
      <c r="BD551" s="82" t="s">
        <v>5599</v>
      </c>
      <c r="BE551" s="77"/>
      <c r="BF551" s="77"/>
      <c r="BG551" s="77"/>
      <c r="BH551" s="77"/>
      <c r="BI551" s="77"/>
    </row>
    <row r="552" spans="1:61" x14ac:dyDescent="0.25">
      <c r="A552" s="62" t="s">
        <v>443</v>
      </c>
      <c r="B552" s="62" t="s">
        <v>443</v>
      </c>
      <c r="C552" s="63"/>
      <c r="D552" s="64"/>
      <c r="E552" s="65"/>
      <c r="F552" s="66"/>
      <c r="G552" s="63"/>
      <c r="H552" s="67"/>
      <c r="I552" s="68"/>
      <c r="J552" s="68"/>
      <c r="K552" s="32"/>
      <c r="L552" s="75">
        <v>552</v>
      </c>
      <c r="M552" s="75"/>
      <c r="N552" s="70"/>
      <c r="O552" s="77" t="s">
        <v>583</v>
      </c>
      <c r="P552" s="79">
        <v>45117.486134259256</v>
      </c>
      <c r="Q552" s="77" t="s">
        <v>1103</v>
      </c>
      <c r="R552" s="77">
        <v>0</v>
      </c>
      <c r="S552" s="77">
        <v>0</v>
      </c>
      <c r="T552" s="77">
        <v>0</v>
      </c>
      <c r="U552" s="77">
        <v>0</v>
      </c>
      <c r="V552" s="77">
        <v>9</v>
      </c>
      <c r="W552" s="82" t="s">
        <v>1899</v>
      </c>
      <c r="X552" s="77"/>
      <c r="Y552" s="77"/>
      <c r="Z552" s="77"/>
      <c r="AA552" s="77"/>
      <c r="AB552" s="77"/>
      <c r="AC552" s="82" t="s">
        <v>2720</v>
      </c>
      <c r="AD552" s="77" t="s">
        <v>2756</v>
      </c>
      <c r="AE552" s="80" t="str">
        <f>HYPERLINK("https://twitter.com/ataorienta/status/1678368477449428993")</f>
        <v>https://twitter.com/ataorienta/status/1678368477449428993</v>
      </c>
      <c r="AF552" s="79">
        <v>45117.486134259256</v>
      </c>
      <c r="AG552" s="85">
        <v>45117</v>
      </c>
      <c r="AH552" s="82" t="s">
        <v>3302</v>
      </c>
      <c r="AI552" s="77"/>
      <c r="AJ552" s="77"/>
      <c r="AK552" s="77"/>
      <c r="AL552" s="77"/>
      <c r="AM552" s="77"/>
      <c r="AN552" s="77"/>
      <c r="AO552" s="77"/>
      <c r="AP552" s="77"/>
      <c r="AQ552" s="77"/>
      <c r="AR552" s="77"/>
      <c r="AS552" s="77"/>
      <c r="AT552" s="77"/>
      <c r="AU552" s="77"/>
      <c r="AV552" s="80" t="str">
        <f>HYPERLINK("https://pbs.twimg.com/profile_images/1693679843404062720/q3ecO34__normal.png")</f>
        <v>https://pbs.twimg.com/profile_images/1693679843404062720/q3ecO34__normal.png</v>
      </c>
      <c r="AW552" s="82" t="s">
        <v>4885</v>
      </c>
      <c r="AX552" s="82" t="s">
        <v>5385</v>
      </c>
      <c r="AY552" s="82" t="s">
        <v>5599</v>
      </c>
      <c r="AZ552" s="82" t="s">
        <v>5669</v>
      </c>
      <c r="BA552" s="82" t="s">
        <v>5615</v>
      </c>
      <c r="BB552" s="82" t="s">
        <v>5615</v>
      </c>
      <c r="BC552" s="82" t="s">
        <v>5669</v>
      </c>
      <c r="BD552" s="82" t="s">
        <v>5599</v>
      </c>
      <c r="BE552" s="77"/>
      <c r="BF552" s="77"/>
      <c r="BG552" s="77"/>
      <c r="BH552" s="77"/>
      <c r="BI552" s="77"/>
    </row>
    <row r="553" spans="1:61" x14ac:dyDescent="0.25">
      <c r="A553" s="62" t="s">
        <v>443</v>
      </c>
      <c r="B553" s="62" t="s">
        <v>443</v>
      </c>
      <c r="C553" s="63"/>
      <c r="D553" s="64"/>
      <c r="E553" s="65"/>
      <c r="F553" s="66"/>
      <c r="G553" s="63"/>
      <c r="H553" s="67"/>
      <c r="I553" s="68"/>
      <c r="J553" s="68"/>
      <c r="K553" s="32"/>
      <c r="L553" s="75">
        <v>553</v>
      </c>
      <c r="M553" s="75"/>
      <c r="N553" s="70"/>
      <c r="O553" s="77" t="s">
        <v>583</v>
      </c>
      <c r="P553" s="79">
        <v>45116.490081018521</v>
      </c>
      <c r="Q553" s="77" t="s">
        <v>1099</v>
      </c>
      <c r="R553" s="77">
        <v>0</v>
      </c>
      <c r="S553" s="77">
        <v>0</v>
      </c>
      <c r="T553" s="77">
        <v>0</v>
      </c>
      <c r="U553" s="77">
        <v>0</v>
      </c>
      <c r="V553" s="77">
        <v>4</v>
      </c>
      <c r="W553" s="82" t="s">
        <v>1895</v>
      </c>
      <c r="X553" s="77"/>
      <c r="Y553" s="77"/>
      <c r="Z553" s="77"/>
      <c r="AA553" s="77"/>
      <c r="AB553" s="77"/>
      <c r="AC553" s="82" t="s">
        <v>2720</v>
      </c>
      <c r="AD553" s="77" t="s">
        <v>2756</v>
      </c>
      <c r="AE553" s="80" t="str">
        <f>HYPERLINK("https://twitter.com/ataorienta/status/1678007521422843910")</f>
        <v>https://twitter.com/ataorienta/status/1678007521422843910</v>
      </c>
      <c r="AF553" s="79">
        <v>45116.490081018521</v>
      </c>
      <c r="AG553" s="85">
        <v>45116</v>
      </c>
      <c r="AH553" s="82" t="s">
        <v>3303</v>
      </c>
      <c r="AI553" s="77"/>
      <c r="AJ553" s="77"/>
      <c r="AK553" s="77"/>
      <c r="AL553" s="77"/>
      <c r="AM553" s="77"/>
      <c r="AN553" s="77"/>
      <c r="AO553" s="77"/>
      <c r="AP553" s="77"/>
      <c r="AQ553" s="77"/>
      <c r="AR553" s="77"/>
      <c r="AS553" s="77"/>
      <c r="AT553" s="77"/>
      <c r="AU553" s="77"/>
      <c r="AV553" s="80" t="str">
        <f>HYPERLINK("https://pbs.twimg.com/profile_images/1693679843404062720/q3ecO34__normal.png")</f>
        <v>https://pbs.twimg.com/profile_images/1693679843404062720/q3ecO34__normal.png</v>
      </c>
      <c r="AW553" s="82" t="s">
        <v>4886</v>
      </c>
      <c r="AX553" s="82" t="s">
        <v>5386</v>
      </c>
      <c r="AY553" s="82" t="s">
        <v>5599</v>
      </c>
      <c r="AZ553" s="82" t="s">
        <v>5670</v>
      </c>
      <c r="BA553" s="82" t="s">
        <v>5615</v>
      </c>
      <c r="BB553" s="82" t="s">
        <v>5615</v>
      </c>
      <c r="BC553" s="82" t="s">
        <v>5670</v>
      </c>
      <c r="BD553" s="82" t="s">
        <v>5599</v>
      </c>
      <c r="BE553" s="77"/>
      <c r="BF553" s="77"/>
      <c r="BG553" s="77"/>
      <c r="BH553" s="77"/>
      <c r="BI553" s="77"/>
    </row>
    <row r="554" spans="1:61" x14ac:dyDescent="0.25">
      <c r="A554" s="62" t="s">
        <v>443</v>
      </c>
      <c r="B554" s="62" t="s">
        <v>443</v>
      </c>
      <c r="C554" s="63"/>
      <c r="D554" s="64"/>
      <c r="E554" s="65"/>
      <c r="F554" s="66"/>
      <c r="G554" s="63"/>
      <c r="H554" s="67"/>
      <c r="I554" s="68"/>
      <c r="J554" s="68"/>
      <c r="K554" s="32"/>
      <c r="L554" s="75">
        <v>554</v>
      </c>
      <c r="M554" s="75"/>
      <c r="N554" s="70"/>
      <c r="O554" s="77" t="s">
        <v>583</v>
      </c>
      <c r="P554" s="79">
        <v>45054.525381944448</v>
      </c>
      <c r="Q554" s="77" t="s">
        <v>1097</v>
      </c>
      <c r="R554" s="77">
        <v>0</v>
      </c>
      <c r="S554" s="77">
        <v>0</v>
      </c>
      <c r="T554" s="77">
        <v>0</v>
      </c>
      <c r="U554" s="77">
        <v>0</v>
      </c>
      <c r="V554" s="77">
        <v>9</v>
      </c>
      <c r="W554" s="82" t="s">
        <v>1893</v>
      </c>
      <c r="X554" s="77"/>
      <c r="Y554" s="77"/>
      <c r="Z554" s="77"/>
      <c r="AA554" s="77"/>
      <c r="AB554" s="77"/>
      <c r="AC554" s="82" t="s">
        <v>2720</v>
      </c>
      <c r="AD554" s="77" t="s">
        <v>2756</v>
      </c>
      <c r="AE554" s="80" t="str">
        <f>HYPERLINK("https://twitter.com/ataorienta/status/1655552267016085504")</f>
        <v>https://twitter.com/ataorienta/status/1655552267016085504</v>
      </c>
      <c r="AF554" s="79">
        <v>45054.525381944448</v>
      </c>
      <c r="AG554" s="85">
        <v>45054</v>
      </c>
      <c r="AH554" s="82" t="s">
        <v>3304</v>
      </c>
      <c r="AI554" s="77"/>
      <c r="AJ554" s="77"/>
      <c r="AK554" s="77"/>
      <c r="AL554" s="77"/>
      <c r="AM554" s="77"/>
      <c r="AN554" s="77"/>
      <c r="AO554" s="77"/>
      <c r="AP554" s="77"/>
      <c r="AQ554" s="77"/>
      <c r="AR554" s="77"/>
      <c r="AS554" s="77"/>
      <c r="AT554" s="77"/>
      <c r="AU554" s="77"/>
      <c r="AV554" s="80" t="str">
        <f>HYPERLINK("https://pbs.twimg.com/profile_images/1693679843404062720/q3ecO34__normal.png")</f>
        <v>https://pbs.twimg.com/profile_images/1693679843404062720/q3ecO34__normal.png</v>
      </c>
      <c r="AW554" s="82" t="s">
        <v>4887</v>
      </c>
      <c r="AX554" s="82" t="s">
        <v>5387</v>
      </c>
      <c r="AY554" s="82" t="s">
        <v>5599</v>
      </c>
      <c r="AZ554" s="82" t="s">
        <v>5671</v>
      </c>
      <c r="BA554" s="82" t="s">
        <v>5615</v>
      </c>
      <c r="BB554" s="82" t="s">
        <v>5615</v>
      </c>
      <c r="BC554" s="82" t="s">
        <v>5671</v>
      </c>
      <c r="BD554" s="82" t="s">
        <v>5599</v>
      </c>
      <c r="BE554" s="77"/>
      <c r="BF554" s="77"/>
      <c r="BG554" s="77"/>
      <c r="BH554" s="77"/>
      <c r="BI554" s="77"/>
    </row>
    <row r="555" spans="1:61" x14ac:dyDescent="0.25">
      <c r="A555" s="62" t="s">
        <v>443</v>
      </c>
      <c r="B555" s="62" t="s">
        <v>443</v>
      </c>
      <c r="C555" s="63"/>
      <c r="D555" s="64"/>
      <c r="E555" s="65"/>
      <c r="F555" s="66"/>
      <c r="G555" s="63"/>
      <c r="H555" s="67"/>
      <c r="I555" s="68"/>
      <c r="J555" s="68"/>
      <c r="K555" s="32"/>
      <c r="L555" s="75">
        <v>555</v>
      </c>
      <c r="M555" s="75"/>
      <c r="N555" s="70"/>
      <c r="O555" s="77" t="s">
        <v>583</v>
      </c>
      <c r="P555" s="79">
        <v>45052.506215277775</v>
      </c>
      <c r="Q555" s="77" t="s">
        <v>1096</v>
      </c>
      <c r="R555" s="77">
        <v>0</v>
      </c>
      <c r="S555" s="77">
        <v>0</v>
      </c>
      <c r="T555" s="77">
        <v>0</v>
      </c>
      <c r="U555" s="77">
        <v>0</v>
      </c>
      <c r="V555" s="77">
        <v>4</v>
      </c>
      <c r="W555" s="82" t="s">
        <v>1892</v>
      </c>
      <c r="X555" s="77"/>
      <c r="Y555" s="77"/>
      <c r="Z555" s="77"/>
      <c r="AA555" s="77"/>
      <c r="AB555" s="77"/>
      <c r="AC555" s="82" t="s">
        <v>2720</v>
      </c>
      <c r="AD555" s="77" t="s">
        <v>2756</v>
      </c>
      <c r="AE555" s="80" t="str">
        <f>HYPERLINK("https://twitter.com/ataorienta/status/1654820543399337984")</f>
        <v>https://twitter.com/ataorienta/status/1654820543399337984</v>
      </c>
      <c r="AF555" s="79">
        <v>45052.506215277775</v>
      </c>
      <c r="AG555" s="85">
        <v>45052</v>
      </c>
      <c r="AH555" s="82" t="s">
        <v>3305</v>
      </c>
      <c r="AI555" s="77"/>
      <c r="AJ555" s="77"/>
      <c r="AK555" s="77"/>
      <c r="AL555" s="77"/>
      <c r="AM555" s="77"/>
      <c r="AN555" s="77"/>
      <c r="AO555" s="77"/>
      <c r="AP555" s="77"/>
      <c r="AQ555" s="77"/>
      <c r="AR555" s="77"/>
      <c r="AS555" s="77"/>
      <c r="AT555" s="77"/>
      <c r="AU555" s="77"/>
      <c r="AV555" s="80" t="str">
        <f>HYPERLINK("https://pbs.twimg.com/profile_images/1693679843404062720/q3ecO34__normal.png")</f>
        <v>https://pbs.twimg.com/profile_images/1693679843404062720/q3ecO34__normal.png</v>
      </c>
      <c r="AW555" s="82" t="s">
        <v>4888</v>
      </c>
      <c r="AX555" s="82" t="s">
        <v>5388</v>
      </c>
      <c r="AY555" s="82" t="s">
        <v>5599</v>
      </c>
      <c r="AZ555" s="82" t="s">
        <v>5672</v>
      </c>
      <c r="BA555" s="82" t="s">
        <v>5615</v>
      </c>
      <c r="BB555" s="82" t="s">
        <v>5615</v>
      </c>
      <c r="BC555" s="82" t="s">
        <v>5672</v>
      </c>
      <c r="BD555" s="82" t="s">
        <v>5599</v>
      </c>
      <c r="BE555" s="77"/>
      <c r="BF555" s="77"/>
      <c r="BG555" s="77"/>
      <c r="BH555" s="77"/>
      <c r="BI555" s="77"/>
    </row>
    <row r="556" spans="1:61" x14ac:dyDescent="0.25">
      <c r="A556" s="62" t="s">
        <v>444</v>
      </c>
      <c r="B556" s="62" t="s">
        <v>444</v>
      </c>
      <c r="C556" s="63"/>
      <c r="D556" s="64"/>
      <c r="E556" s="65"/>
      <c r="F556" s="66"/>
      <c r="G556" s="63"/>
      <c r="H556" s="67"/>
      <c r="I556" s="68"/>
      <c r="J556" s="68"/>
      <c r="K556" s="32"/>
      <c r="L556" s="75">
        <v>556</v>
      </c>
      <c r="M556" s="75"/>
      <c r="N556" s="70"/>
      <c r="O556" s="77" t="s">
        <v>179</v>
      </c>
      <c r="P556" s="79">
        <v>45063.529340277775</v>
      </c>
      <c r="Q556" s="77" t="s">
        <v>1106</v>
      </c>
      <c r="R556" s="77">
        <v>0</v>
      </c>
      <c r="S556" s="77">
        <v>0</v>
      </c>
      <c r="T556" s="77">
        <v>0</v>
      </c>
      <c r="U556" s="77">
        <v>0</v>
      </c>
      <c r="V556" s="77">
        <v>6</v>
      </c>
      <c r="W556" s="82" t="s">
        <v>1902</v>
      </c>
      <c r="X556" s="77"/>
      <c r="Y556" s="77"/>
      <c r="Z556" s="77"/>
      <c r="AA556" s="77" t="s">
        <v>2537</v>
      </c>
      <c r="AB556" s="77" t="s">
        <v>2714</v>
      </c>
      <c r="AC556" s="82" t="s">
        <v>2722</v>
      </c>
      <c r="AD556" s="77" t="s">
        <v>2752</v>
      </c>
      <c r="AE556" s="80" t="str">
        <f>HYPERLINK("https://twitter.com/rodrigo_itaya/status/1658815189628616708")</f>
        <v>https://twitter.com/rodrigo_itaya/status/1658815189628616708</v>
      </c>
      <c r="AF556" s="79">
        <v>45063.529340277775</v>
      </c>
      <c r="AG556" s="85">
        <v>45063</v>
      </c>
      <c r="AH556" s="82" t="s">
        <v>3306</v>
      </c>
      <c r="AI556" s="77" t="b">
        <v>0</v>
      </c>
      <c r="AJ556" s="77"/>
      <c r="AK556" s="77"/>
      <c r="AL556" s="77"/>
      <c r="AM556" s="77"/>
      <c r="AN556" s="77"/>
      <c r="AO556" s="77"/>
      <c r="AP556" s="77"/>
      <c r="AQ556" s="77" t="s">
        <v>4163</v>
      </c>
      <c r="AR556" s="77"/>
      <c r="AS556" s="77"/>
      <c r="AT556" s="77"/>
      <c r="AU556" s="77"/>
      <c r="AV556" s="80" t="str">
        <f>HYPERLINK("https://pbs.twimg.com/media/FwVLKl5WIAI_qNC.jpg")</f>
        <v>https://pbs.twimg.com/media/FwVLKl5WIAI_qNC.jpg</v>
      </c>
      <c r="AW556" s="82" t="s">
        <v>4889</v>
      </c>
      <c r="AX556" s="82" t="s">
        <v>4889</v>
      </c>
      <c r="AY556" s="77"/>
      <c r="AZ556" s="82" t="s">
        <v>5615</v>
      </c>
      <c r="BA556" s="82" t="s">
        <v>5615</v>
      </c>
      <c r="BB556" s="82" t="s">
        <v>5615</v>
      </c>
      <c r="BC556" s="82" t="s">
        <v>4889</v>
      </c>
      <c r="BD556" s="77">
        <v>342781161</v>
      </c>
      <c r="BE556" s="77"/>
      <c r="BF556" s="77"/>
      <c r="BG556" s="77"/>
      <c r="BH556" s="77"/>
      <c r="BI556" s="77"/>
    </row>
    <row r="557" spans="1:61" x14ac:dyDescent="0.25">
      <c r="A557" s="62" t="s">
        <v>445</v>
      </c>
      <c r="B557" s="62" t="s">
        <v>445</v>
      </c>
      <c r="C557" s="63"/>
      <c r="D557" s="64"/>
      <c r="E557" s="65"/>
      <c r="F557" s="66"/>
      <c r="G557" s="63"/>
      <c r="H557" s="67"/>
      <c r="I557" s="68"/>
      <c r="J557" s="68"/>
      <c r="K557" s="32"/>
      <c r="L557" s="75">
        <v>557</v>
      </c>
      <c r="M557" s="75"/>
      <c r="N557" s="70"/>
      <c r="O557" s="77" t="s">
        <v>179</v>
      </c>
      <c r="P557" s="79">
        <v>45119.751863425925</v>
      </c>
      <c r="Q557" s="77" t="s">
        <v>1107</v>
      </c>
      <c r="R557" s="77">
        <v>0</v>
      </c>
      <c r="S557" s="77">
        <v>0</v>
      </c>
      <c r="T557" s="77">
        <v>0</v>
      </c>
      <c r="U557" s="77">
        <v>0</v>
      </c>
      <c r="V557" s="77">
        <v>6</v>
      </c>
      <c r="W557" s="82" t="s">
        <v>1903</v>
      </c>
      <c r="X557" s="77"/>
      <c r="Y557" s="77"/>
      <c r="Z557" s="77"/>
      <c r="AA557" s="77" t="s">
        <v>2538</v>
      </c>
      <c r="AB557" s="77" t="s">
        <v>2714</v>
      </c>
      <c r="AC557" s="82" t="s">
        <v>2720</v>
      </c>
      <c r="AD557" s="77" t="s">
        <v>2753</v>
      </c>
      <c r="AE557" s="80" t="str">
        <f>HYPERLINK("https://twitter.com/r2premiumnegoci/status/1679189551221227520")</f>
        <v>https://twitter.com/r2premiumnegoci/status/1679189551221227520</v>
      </c>
      <c r="AF557" s="79">
        <v>45119.751863425925</v>
      </c>
      <c r="AG557" s="85">
        <v>45119</v>
      </c>
      <c r="AH557" s="82" t="s">
        <v>3307</v>
      </c>
      <c r="AI557" s="77" t="b">
        <v>0</v>
      </c>
      <c r="AJ557" s="77"/>
      <c r="AK557" s="77"/>
      <c r="AL557" s="77"/>
      <c r="AM557" s="77"/>
      <c r="AN557" s="77"/>
      <c r="AO557" s="77"/>
      <c r="AP557" s="77"/>
      <c r="AQ557" s="77" t="s">
        <v>4164</v>
      </c>
      <c r="AR557" s="77"/>
      <c r="AS557" s="77"/>
      <c r="AT557" s="77"/>
      <c r="AU557" s="77"/>
      <c r="AV557" s="80" t="str">
        <f>HYPERLINK("https://pbs.twimg.com/media/F02t_rxWAA8-pUt.jpg")</f>
        <v>https://pbs.twimg.com/media/F02t_rxWAA8-pUt.jpg</v>
      </c>
      <c r="AW557" s="82" t="s">
        <v>4890</v>
      </c>
      <c r="AX557" s="82" t="s">
        <v>4890</v>
      </c>
      <c r="AY557" s="77"/>
      <c r="AZ557" s="82" t="s">
        <v>5615</v>
      </c>
      <c r="BA557" s="82" t="s">
        <v>5615</v>
      </c>
      <c r="BB557" s="82" t="s">
        <v>5615</v>
      </c>
      <c r="BC557" s="82" t="s">
        <v>4890</v>
      </c>
      <c r="BD557" s="82" t="s">
        <v>5600</v>
      </c>
      <c r="BE557" s="77"/>
      <c r="BF557" s="77"/>
      <c r="BG557" s="77"/>
      <c r="BH557" s="77"/>
      <c r="BI557" s="77"/>
    </row>
    <row r="558" spans="1:61" x14ac:dyDescent="0.25">
      <c r="A558" s="62" t="s">
        <v>445</v>
      </c>
      <c r="B558" s="62" t="s">
        <v>445</v>
      </c>
      <c r="C558" s="63"/>
      <c r="D558" s="64"/>
      <c r="E558" s="65"/>
      <c r="F558" s="66"/>
      <c r="G558" s="63"/>
      <c r="H558" s="67"/>
      <c r="I558" s="68"/>
      <c r="J558" s="68"/>
      <c r="K558" s="32"/>
      <c r="L558" s="75">
        <v>558</v>
      </c>
      <c r="M558" s="75"/>
      <c r="N558" s="70"/>
      <c r="O558" s="77" t="s">
        <v>179</v>
      </c>
      <c r="P558" s="79">
        <v>45118.831932870373</v>
      </c>
      <c r="Q558" s="77" t="s">
        <v>1108</v>
      </c>
      <c r="R558" s="77">
        <v>0</v>
      </c>
      <c r="S558" s="77">
        <v>1</v>
      </c>
      <c r="T558" s="77">
        <v>0</v>
      </c>
      <c r="U558" s="77">
        <v>0</v>
      </c>
      <c r="V558" s="77">
        <v>10</v>
      </c>
      <c r="W558" s="82" t="s">
        <v>1903</v>
      </c>
      <c r="X558" s="77"/>
      <c r="Y558" s="77"/>
      <c r="Z558" s="77"/>
      <c r="AA558" s="77" t="s">
        <v>2539</v>
      </c>
      <c r="AB558" s="77" t="s">
        <v>2714</v>
      </c>
      <c r="AC558" s="82" t="s">
        <v>2722</v>
      </c>
      <c r="AD558" s="77" t="s">
        <v>2753</v>
      </c>
      <c r="AE558" s="80" t="str">
        <f>HYPERLINK("https://twitter.com/r2premiumnegoci/status/1678856180024614912")</f>
        <v>https://twitter.com/r2premiumnegoci/status/1678856180024614912</v>
      </c>
      <c r="AF558" s="79">
        <v>45118.831932870373</v>
      </c>
      <c r="AG558" s="85">
        <v>45118</v>
      </c>
      <c r="AH558" s="82" t="s">
        <v>3308</v>
      </c>
      <c r="AI558" s="77" t="b">
        <v>0</v>
      </c>
      <c r="AJ558" s="77"/>
      <c r="AK558" s="77"/>
      <c r="AL558" s="77"/>
      <c r="AM558" s="77"/>
      <c r="AN558" s="77"/>
      <c r="AO558" s="77"/>
      <c r="AP558" s="77"/>
      <c r="AQ558" s="77" t="s">
        <v>4165</v>
      </c>
      <c r="AR558" s="77"/>
      <c r="AS558" s="77"/>
      <c r="AT558" s="77"/>
      <c r="AU558" s="77"/>
      <c r="AV558" s="80" t="str">
        <f>HYPERLINK("https://pbs.twimg.com/media/F0x-tGyXgAIK027.jpg")</f>
        <v>https://pbs.twimg.com/media/F0x-tGyXgAIK027.jpg</v>
      </c>
      <c r="AW558" s="82" t="s">
        <v>4891</v>
      </c>
      <c r="AX558" s="82" t="s">
        <v>4891</v>
      </c>
      <c r="AY558" s="77"/>
      <c r="AZ558" s="82" t="s">
        <v>5615</v>
      </c>
      <c r="BA558" s="82" t="s">
        <v>5615</v>
      </c>
      <c r="BB558" s="82" t="s">
        <v>5615</v>
      </c>
      <c r="BC558" s="82" t="s">
        <v>4891</v>
      </c>
      <c r="BD558" s="82" t="s">
        <v>5600</v>
      </c>
      <c r="BE558" s="77"/>
      <c r="BF558" s="77"/>
      <c r="BG558" s="77"/>
      <c r="BH558" s="77"/>
      <c r="BI558" s="77"/>
    </row>
    <row r="559" spans="1:61" x14ac:dyDescent="0.25">
      <c r="A559" s="62" t="s">
        <v>445</v>
      </c>
      <c r="B559" s="62" t="s">
        <v>445</v>
      </c>
      <c r="C559" s="63"/>
      <c r="D559" s="64"/>
      <c r="E559" s="65"/>
      <c r="F559" s="66"/>
      <c r="G559" s="63"/>
      <c r="H559" s="67"/>
      <c r="I559" s="68"/>
      <c r="J559" s="68"/>
      <c r="K559" s="32"/>
      <c r="L559" s="75">
        <v>559</v>
      </c>
      <c r="M559" s="75"/>
      <c r="N559" s="70"/>
      <c r="O559" s="77" t="s">
        <v>179</v>
      </c>
      <c r="P559" s="79">
        <v>45118.831354166665</v>
      </c>
      <c r="Q559" s="77" t="s">
        <v>1109</v>
      </c>
      <c r="R559" s="77">
        <v>0</v>
      </c>
      <c r="S559" s="77">
        <v>1</v>
      </c>
      <c r="T559" s="77">
        <v>0</v>
      </c>
      <c r="U559" s="77">
        <v>0</v>
      </c>
      <c r="V559" s="77">
        <v>10</v>
      </c>
      <c r="W559" s="82" t="s">
        <v>1903</v>
      </c>
      <c r="X559" s="77"/>
      <c r="Y559" s="77"/>
      <c r="Z559" s="77"/>
      <c r="AA559" s="77" t="s">
        <v>2540</v>
      </c>
      <c r="AB559" s="77" t="s">
        <v>2714</v>
      </c>
      <c r="AC559" s="82" t="s">
        <v>2722</v>
      </c>
      <c r="AD559" s="77" t="s">
        <v>2753</v>
      </c>
      <c r="AE559" s="80" t="str">
        <f>HYPERLINK("https://twitter.com/r2premiumnegoci/status/1678855969399341056")</f>
        <v>https://twitter.com/r2premiumnegoci/status/1678855969399341056</v>
      </c>
      <c r="AF559" s="79">
        <v>45118.831354166665</v>
      </c>
      <c r="AG559" s="85">
        <v>45118</v>
      </c>
      <c r="AH559" s="82" t="s">
        <v>3309</v>
      </c>
      <c r="AI559" s="77" t="b">
        <v>0</v>
      </c>
      <c r="AJ559" s="77"/>
      <c r="AK559" s="77"/>
      <c r="AL559" s="77"/>
      <c r="AM559" s="77"/>
      <c r="AN559" s="77"/>
      <c r="AO559" s="77"/>
      <c r="AP559" s="77"/>
      <c r="AQ559" s="77" t="s">
        <v>4166</v>
      </c>
      <c r="AR559" s="77"/>
      <c r="AS559" s="77"/>
      <c r="AT559" s="77"/>
      <c r="AU559" s="77"/>
      <c r="AV559" s="80" t="str">
        <f>HYPERLINK("https://pbs.twimg.com/media/F0x-l-eXsAAFJeE.jpg")</f>
        <v>https://pbs.twimg.com/media/F0x-l-eXsAAFJeE.jpg</v>
      </c>
      <c r="AW559" s="82" t="s">
        <v>4892</v>
      </c>
      <c r="AX559" s="82" t="s">
        <v>4892</v>
      </c>
      <c r="AY559" s="77"/>
      <c r="AZ559" s="82" t="s">
        <v>5615</v>
      </c>
      <c r="BA559" s="82" t="s">
        <v>5615</v>
      </c>
      <c r="BB559" s="82" t="s">
        <v>5615</v>
      </c>
      <c r="BC559" s="82" t="s">
        <v>4892</v>
      </c>
      <c r="BD559" s="82" t="s">
        <v>5600</v>
      </c>
      <c r="BE559" s="77"/>
      <c r="BF559" s="77"/>
      <c r="BG559" s="77"/>
      <c r="BH559" s="77"/>
      <c r="BI559" s="77"/>
    </row>
    <row r="560" spans="1:61" x14ac:dyDescent="0.25">
      <c r="A560" s="62" t="s">
        <v>445</v>
      </c>
      <c r="B560" s="62" t="s">
        <v>445</v>
      </c>
      <c r="C560" s="63"/>
      <c r="D560" s="64"/>
      <c r="E560" s="65"/>
      <c r="F560" s="66"/>
      <c r="G560" s="63"/>
      <c r="H560" s="67"/>
      <c r="I560" s="68"/>
      <c r="J560" s="68"/>
      <c r="K560" s="32"/>
      <c r="L560" s="75">
        <v>560</v>
      </c>
      <c r="M560" s="75"/>
      <c r="N560" s="70"/>
      <c r="O560" s="77" t="s">
        <v>179</v>
      </c>
      <c r="P560" s="79">
        <v>45118.831087962964</v>
      </c>
      <c r="Q560" s="77" t="s">
        <v>1110</v>
      </c>
      <c r="R560" s="77">
        <v>0</v>
      </c>
      <c r="S560" s="77">
        <v>1</v>
      </c>
      <c r="T560" s="77">
        <v>0</v>
      </c>
      <c r="U560" s="77">
        <v>0</v>
      </c>
      <c r="V560" s="77">
        <v>10</v>
      </c>
      <c r="W560" s="82" t="s">
        <v>1903</v>
      </c>
      <c r="X560" s="77"/>
      <c r="Y560" s="77"/>
      <c r="Z560" s="77"/>
      <c r="AA560" s="77" t="s">
        <v>2541</v>
      </c>
      <c r="AB560" s="77" t="s">
        <v>2713</v>
      </c>
      <c r="AC560" s="82" t="s">
        <v>2722</v>
      </c>
      <c r="AD560" s="77" t="s">
        <v>2753</v>
      </c>
      <c r="AE560" s="80" t="str">
        <f>HYPERLINK("https://twitter.com/r2premiumnegoci/status/1678855871680454658")</f>
        <v>https://twitter.com/r2premiumnegoci/status/1678855871680454658</v>
      </c>
      <c r="AF560" s="79">
        <v>45118.831087962964</v>
      </c>
      <c r="AG560" s="85">
        <v>45118</v>
      </c>
      <c r="AH560" s="82" t="s">
        <v>3310</v>
      </c>
      <c r="AI560" s="77" t="b">
        <v>0</v>
      </c>
      <c r="AJ560" s="77"/>
      <c r="AK560" s="77"/>
      <c r="AL560" s="77"/>
      <c r="AM560" s="77"/>
      <c r="AN560" s="77"/>
      <c r="AO560" s="77"/>
      <c r="AP560" s="77"/>
      <c r="AQ560" s="77" t="s">
        <v>4167</v>
      </c>
      <c r="AR560" s="77">
        <v>15000</v>
      </c>
      <c r="AS560" s="77"/>
      <c r="AT560" s="77"/>
      <c r="AU560" s="77"/>
      <c r="AV560" s="80" t="str">
        <f>HYPERLINK("https://pbs.twimg.com/ext_tw_video_thumb/1678855701823647744/pu/img/HMZc_1ot7TcS3qZj.jpg")</f>
        <v>https://pbs.twimg.com/ext_tw_video_thumb/1678855701823647744/pu/img/HMZc_1ot7TcS3qZj.jpg</v>
      </c>
      <c r="AW560" s="82" t="s">
        <v>4893</v>
      </c>
      <c r="AX560" s="82" t="s">
        <v>4893</v>
      </c>
      <c r="AY560" s="77"/>
      <c r="AZ560" s="82" t="s">
        <v>5615</v>
      </c>
      <c r="BA560" s="82" t="s">
        <v>5615</v>
      </c>
      <c r="BB560" s="82" t="s">
        <v>5615</v>
      </c>
      <c r="BC560" s="82" t="s">
        <v>4893</v>
      </c>
      <c r="BD560" s="82" t="s">
        <v>5600</v>
      </c>
      <c r="BE560" s="77"/>
      <c r="BF560" s="77"/>
      <c r="BG560" s="77"/>
      <c r="BH560" s="77"/>
      <c r="BI560" s="77"/>
    </row>
    <row r="561" spans="1:61" x14ac:dyDescent="0.25">
      <c r="A561" s="62" t="s">
        <v>445</v>
      </c>
      <c r="B561" s="62" t="s">
        <v>445</v>
      </c>
      <c r="C561" s="63"/>
      <c r="D561" s="64"/>
      <c r="E561" s="65"/>
      <c r="F561" s="66"/>
      <c r="G561" s="63"/>
      <c r="H561" s="67"/>
      <c r="I561" s="68"/>
      <c r="J561" s="68"/>
      <c r="K561" s="32"/>
      <c r="L561" s="75">
        <v>561</v>
      </c>
      <c r="M561" s="75"/>
      <c r="N561" s="70"/>
      <c r="O561" s="77" t="s">
        <v>583</v>
      </c>
      <c r="P561" s="79">
        <v>45118.829560185186</v>
      </c>
      <c r="Q561" s="77" t="s">
        <v>1111</v>
      </c>
      <c r="R561" s="77">
        <v>0</v>
      </c>
      <c r="S561" s="77">
        <v>0</v>
      </c>
      <c r="T561" s="77">
        <v>0</v>
      </c>
      <c r="U561" s="77">
        <v>0</v>
      </c>
      <c r="V561" s="77">
        <v>10</v>
      </c>
      <c r="W561" s="82" t="s">
        <v>1903</v>
      </c>
      <c r="X561" s="77"/>
      <c r="Y561" s="77"/>
      <c r="Z561" s="77"/>
      <c r="AA561" s="77"/>
      <c r="AB561" s="77"/>
      <c r="AC561" s="82" t="s">
        <v>2722</v>
      </c>
      <c r="AD561" s="77" t="s">
        <v>2756</v>
      </c>
      <c r="AE561" s="80" t="str">
        <f>HYPERLINK("https://twitter.com/r2premiumnegoci/status/1678855318032330754")</f>
        <v>https://twitter.com/r2premiumnegoci/status/1678855318032330754</v>
      </c>
      <c r="AF561" s="79">
        <v>45118.829560185186</v>
      </c>
      <c r="AG561" s="85">
        <v>45118</v>
      </c>
      <c r="AH561" s="82" t="s">
        <v>3311</v>
      </c>
      <c r="AI561" s="77"/>
      <c r="AJ561" s="77"/>
      <c r="AK561" s="77"/>
      <c r="AL561" s="77"/>
      <c r="AM561" s="77"/>
      <c r="AN561" s="77"/>
      <c r="AO561" s="77"/>
      <c r="AP561" s="77"/>
      <c r="AQ561" s="77"/>
      <c r="AR561" s="77"/>
      <c r="AS561" s="77"/>
      <c r="AT561" s="77"/>
      <c r="AU561" s="77"/>
      <c r="AV561" s="80" t="str">
        <f>HYPERLINK("https://pbs.twimg.com/profile_images/1677348702451630085/DAhPPt7n_normal.png")</f>
        <v>https://pbs.twimg.com/profile_images/1677348702451630085/DAhPPt7n_normal.png</v>
      </c>
      <c r="AW561" s="82" t="s">
        <v>4894</v>
      </c>
      <c r="AX561" s="82" t="s">
        <v>5389</v>
      </c>
      <c r="AY561" s="82" t="s">
        <v>5600</v>
      </c>
      <c r="AZ561" s="82" t="s">
        <v>5389</v>
      </c>
      <c r="BA561" s="82" t="s">
        <v>5615</v>
      </c>
      <c r="BB561" s="82" t="s">
        <v>5615</v>
      </c>
      <c r="BC561" s="82" t="s">
        <v>5389</v>
      </c>
      <c r="BD561" s="82" t="s">
        <v>5600</v>
      </c>
      <c r="BE561" s="77"/>
      <c r="BF561" s="77"/>
      <c r="BG561" s="77"/>
      <c r="BH561" s="77"/>
      <c r="BI561" s="77"/>
    </row>
    <row r="562" spans="1:61" x14ac:dyDescent="0.25">
      <c r="A562" s="62" t="s">
        <v>446</v>
      </c>
      <c r="B562" s="62" t="s">
        <v>446</v>
      </c>
      <c r="C562" s="63"/>
      <c r="D562" s="64"/>
      <c r="E562" s="65"/>
      <c r="F562" s="66"/>
      <c r="G562" s="63"/>
      <c r="H562" s="67"/>
      <c r="I562" s="68"/>
      <c r="J562" s="68"/>
      <c r="K562" s="32"/>
      <c r="L562" s="75">
        <v>562</v>
      </c>
      <c r="M562" s="75"/>
      <c r="N562" s="70"/>
      <c r="O562" s="77" t="s">
        <v>179</v>
      </c>
      <c r="P562" s="79">
        <v>45141.700960648152</v>
      </c>
      <c r="Q562" s="77" t="s">
        <v>1112</v>
      </c>
      <c r="R562" s="77">
        <v>0</v>
      </c>
      <c r="S562" s="77">
        <v>0</v>
      </c>
      <c r="T562" s="77">
        <v>0</v>
      </c>
      <c r="U562" s="77">
        <v>0</v>
      </c>
      <c r="V562" s="77">
        <v>19</v>
      </c>
      <c r="W562" s="82" t="s">
        <v>1904</v>
      </c>
      <c r="X562" s="77"/>
      <c r="Y562" s="77"/>
      <c r="Z562" s="77"/>
      <c r="AA562" s="77" t="s">
        <v>2542</v>
      </c>
      <c r="AB562" s="77" t="s">
        <v>2713</v>
      </c>
      <c r="AC562" s="82" t="s">
        <v>2741</v>
      </c>
      <c r="AD562" s="77" t="s">
        <v>2752</v>
      </c>
      <c r="AE562" s="80" t="str">
        <f>HYPERLINK("https://twitter.com/andradex/status/1687143635769335815")</f>
        <v>https://twitter.com/andradex/status/1687143635769335815</v>
      </c>
      <c r="AF562" s="79">
        <v>45141.700960648152</v>
      </c>
      <c r="AG562" s="85">
        <v>45141</v>
      </c>
      <c r="AH562" s="82" t="s">
        <v>3312</v>
      </c>
      <c r="AI562" s="77" t="b">
        <v>0</v>
      </c>
      <c r="AJ562" s="77"/>
      <c r="AK562" s="77"/>
      <c r="AL562" s="77"/>
      <c r="AM562" s="77"/>
      <c r="AN562" s="77"/>
      <c r="AO562" s="77"/>
      <c r="AP562" s="77"/>
      <c r="AQ562" s="77" t="s">
        <v>4168</v>
      </c>
      <c r="AR562" s="77">
        <v>8155</v>
      </c>
      <c r="AS562" s="77"/>
      <c r="AT562" s="77"/>
      <c r="AU562" s="77"/>
      <c r="AV562" s="80" t="str">
        <f>HYPERLINK("https://pbs.twimg.com/amplify_video_thumb/1687143470266294286/img/JYgtz6zwKTUwR998.jpg")</f>
        <v>https://pbs.twimg.com/amplify_video_thumb/1687143470266294286/img/JYgtz6zwKTUwR998.jpg</v>
      </c>
      <c r="AW562" s="82" t="s">
        <v>4895</v>
      </c>
      <c r="AX562" s="82" t="s">
        <v>4895</v>
      </c>
      <c r="AY562" s="77"/>
      <c r="AZ562" s="82" t="s">
        <v>5615</v>
      </c>
      <c r="BA562" s="82" t="s">
        <v>5615</v>
      </c>
      <c r="BB562" s="82" t="s">
        <v>5615</v>
      </c>
      <c r="BC562" s="82" t="s">
        <v>4895</v>
      </c>
      <c r="BD562" s="77">
        <v>26272774</v>
      </c>
      <c r="BE562" s="77"/>
      <c r="BF562" s="77"/>
      <c r="BG562" s="77"/>
      <c r="BH562" s="77"/>
      <c r="BI562" s="77"/>
    </row>
    <row r="563" spans="1:61" x14ac:dyDescent="0.25">
      <c r="A563" s="62" t="s">
        <v>447</v>
      </c>
      <c r="B563" s="62" t="s">
        <v>447</v>
      </c>
      <c r="C563" s="63"/>
      <c r="D563" s="64"/>
      <c r="E563" s="65"/>
      <c r="F563" s="66"/>
      <c r="G563" s="63"/>
      <c r="H563" s="67"/>
      <c r="I563" s="68"/>
      <c r="J563" s="68"/>
      <c r="K563" s="32"/>
      <c r="L563" s="75">
        <v>563</v>
      </c>
      <c r="M563" s="75"/>
      <c r="N563" s="70"/>
      <c r="O563" s="77" t="s">
        <v>179</v>
      </c>
      <c r="P563" s="79">
        <v>44992.894166666665</v>
      </c>
      <c r="Q563" s="77" t="s">
        <v>1113</v>
      </c>
      <c r="R563" s="77">
        <v>0</v>
      </c>
      <c r="S563" s="77">
        <v>0</v>
      </c>
      <c r="T563" s="77">
        <v>0</v>
      </c>
      <c r="U563" s="77">
        <v>0</v>
      </c>
      <c r="V563" s="77">
        <v>4</v>
      </c>
      <c r="W563" s="82" t="s">
        <v>1905</v>
      </c>
      <c r="X563" s="77"/>
      <c r="Y563" s="77"/>
      <c r="Z563" s="77"/>
      <c r="AA563" s="77" t="s">
        <v>2543</v>
      </c>
      <c r="AB563" s="77" t="s">
        <v>2713</v>
      </c>
      <c r="AC563" s="82" t="s">
        <v>2720</v>
      </c>
      <c r="AD563" s="77" t="s">
        <v>2752</v>
      </c>
      <c r="AE563" s="80" t="str">
        <f>HYPERLINK("https://twitter.com/brinainvest/status/1633217860129505282")</f>
        <v>https://twitter.com/brinainvest/status/1633217860129505282</v>
      </c>
      <c r="AF563" s="79">
        <v>44992.894166666665</v>
      </c>
      <c r="AG563" s="85">
        <v>44992</v>
      </c>
      <c r="AH563" s="82" t="s">
        <v>3313</v>
      </c>
      <c r="AI563" s="77" t="b">
        <v>0</v>
      </c>
      <c r="AJ563" s="77"/>
      <c r="AK563" s="77"/>
      <c r="AL563" s="77"/>
      <c r="AM563" s="77"/>
      <c r="AN563" s="77"/>
      <c r="AO563" s="77"/>
      <c r="AP563" s="77"/>
      <c r="AQ563" s="77" t="s">
        <v>4169</v>
      </c>
      <c r="AR563" s="77">
        <v>34116</v>
      </c>
      <c r="AS563" s="77"/>
      <c r="AT563" s="77"/>
      <c r="AU563" s="77"/>
      <c r="AV563" s="80" t="str">
        <f>HYPERLINK("https://pbs.twimg.com/ext_tw_video_thumb/1633217769503174656/pu/img/kkZdePlSylguh-gB.jpg")</f>
        <v>https://pbs.twimg.com/ext_tw_video_thumb/1633217769503174656/pu/img/kkZdePlSylguh-gB.jpg</v>
      </c>
      <c r="AW563" s="82" t="s">
        <v>4896</v>
      </c>
      <c r="AX563" s="82" t="s">
        <v>4896</v>
      </c>
      <c r="AY563" s="77"/>
      <c r="AZ563" s="82" t="s">
        <v>5615</v>
      </c>
      <c r="BA563" s="82" t="s">
        <v>5615</v>
      </c>
      <c r="BB563" s="82" t="s">
        <v>5615</v>
      </c>
      <c r="BC563" s="82" t="s">
        <v>4896</v>
      </c>
      <c r="BD563" s="82" t="s">
        <v>6014</v>
      </c>
      <c r="BE563" s="77"/>
      <c r="BF563" s="77"/>
      <c r="BG563" s="77"/>
      <c r="BH563" s="77"/>
      <c r="BI563" s="77"/>
    </row>
    <row r="564" spans="1:61" x14ac:dyDescent="0.25">
      <c r="A564" s="62" t="s">
        <v>447</v>
      </c>
      <c r="B564" s="62" t="s">
        <v>447</v>
      </c>
      <c r="C564" s="63"/>
      <c r="D564" s="64"/>
      <c r="E564" s="65"/>
      <c r="F564" s="66"/>
      <c r="G564" s="63"/>
      <c r="H564" s="67"/>
      <c r="I564" s="68"/>
      <c r="J564" s="68"/>
      <c r="K564" s="32"/>
      <c r="L564" s="75">
        <v>564</v>
      </c>
      <c r="M564" s="75"/>
      <c r="N564" s="70"/>
      <c r="O564" s="77" t="s">
        <v>179</v>
      </c>
      <c r="P564" s="79">
        <v>44996.647696759261</v>
      </c>
      <c r="Q564" s="77" t="s">
        <v>1114</v>
      </c>
      <c r="R564" s="77">
        <v>0</v>
      </c>
      <c r="S564" s="77">
        <v>0</v>
      </c>
      <c r="T564" s="77">
        <v>0</v>
      </c>
      <c r="U564" s="77">
        <v>0</v>
      </c>
      <c r="V564" s="77">
        <v>2</v>
      </c>
      <c r="W564" s="82" t="s">
        <v>1906</v>
      </c>
      <c r="X564" s="77"/>
      <c r="Y564" s="77"/>
      <c r="Z564" s="77"/>
      <c r="AA564" s="77" t="s">
        <v>2544</v>
      </c>
      <c r="AB564" s="77" t="s">
        <v>2714</v>
      </c>
      <c r="AC564" s="82" t="s">
        <v>2722</v>
      </c>
      <c r="AD564" s="77" t="s">
        <v>2752</v>
      </c>
      <c r="AE564" s="80" t="str">
        <f>HYPERLINK("https://twitter.com/brinainvest/status/1634578096283156482")</f>
        <v>https://twitter.com/brinainvest/status/1634578096283156482</v>
      </c>
      <c r="AF564" s="79">
        <v>44996.647696759261</v>
      </c>
      <c r="AG564" s="85">
        <v>44996</v>
      </c>
      <c r="AH564" s="82" t="s">
        <v>3314</v>
      </c>
      <c r="AI564" s="77" t="b">
        <v>0</v>
      </c>
      <c r="AJ564" s="77"/>
      <c r="AK564" s="77"/>
      <c r="AL564" s="77"/>
      <c r="AM564" s="77"/>
      <c r="AN564" s="77"/>
      <c r="AO564" s="77"/>
      <c r="AP564" s="77"/>
      <c r="AQ564" s="77" t="s">
        <v>4170</v>
      </c>
      <c r="AR564" s="77"/>
      <c r="AS564" s="77"/>
      <c r="AT564" s="77"/>
      <c r="AU564" s="77"/>
      <c r="AV564" s="80" t="str">
        <f>HYPERLINK("https://pbs.twimg.com/media/Fq8vopCXsAEJuZ7.jpg")</f>
        <v>https://pbs.twimg.com/media/Fq8vopCXsAEJuZ7.jpg</v>
      </c>
      <c r="AW564" s="82" t="s">
        <v>4897</v>
      </c>
      <c r="AX564" s="82" t="s">
        <v>4897</v>
      </c>
      <c r="AY564" s="77"/>
      <c r="AZ564" s="82" t="s">
        <v>5615</v>
      </c>
      <c r="BA564" s="82" t="s">
        <v>5615</v>
      </c>
      <c r="BB564" s="82" t="s">
        <v>5615</v>
      </c>
      <c r="BC564" s="82" t="s">
        <v>4897</v>
      </c>
      <c r="BD564" s="82" t="s">
        <v>6014</v>
      </c>
      <c r="BE564" s="77"/>
      <c r="BF564" s="77"/>
      <c r="BG564" s="77"/>
      <c r="BH564" s="77"/>
      <c r="BI564" s="77"/>
    </row>
    <row r="565" spans="1:61" x14ac:dyDescent="0.25">
      <c r="A565" s="62" t="s">
        <v>447</v>
      </c>
      <c r="B565" s="62" t="s">
        <v>447</v>
      </c>
      <c r="C565" s="63"/>
      <c r="D565" s="64"/>
      <c r="E565" s="65"/>
      <c r="F565" s="66"/>
      <c r="G565" s="63"/>
      <c r="H565" s="67"/>
      <c r="I565" s="68"/>
      <c r="J565" s="68"/>
      <c r="K565" s="32"/>
      <c r="L565" s="75">
        <v>565</v>
      </c>
      <c r="M565" s="75"/>
      <c r="N565" s="70"/>
      <c r="O565" s="77" t="s">
        <v>179</v>
      </c>
      <c r="P565" s="79">
        <v>44994.911319444444</v>
      </c>
      <c r="Q565" s="77" t="s">
        <v>1115</v>
      </c>
      <c r="R565" s="77">
        <v>0</v>
      </c>
      <c r="S565" s="77">
        <v>0</v>
      </c>
      <c r="T565" s="77">
        <v>0</v>
      </c>
      <c r="U565" s="77">
        <v>0</v>
      </c>
      <c r="V565" s="77"/>
      <c r="W565" s="82" t="s">
        <v>1905</v>
      </c>
      <c r="X565" s="77"/>
      <c r="Y565" s="77"/>
      <c r="Z565" s="77"/>
      <c r="AA565" s="77" t="s">
        <v>2545</v>
      </c>
      <c r="AB565" s="77" t="s">
        <v>2714</v>
      </c>
      <c r="AC565" s="82" t="s">
        <v>2720</v>
      </c>
      <c r="AD565" s="77" t="s">
        <v>2752</v>
      </c>
      <c r="AE565" s="80" t="str">
        <f>HYPERLINK("https://twitter.com/brinainvest/status/1633948852028858373")</f>
        <v>https://twitter.com/brinainvest/status/1633948852028858373</v>
      </c>
      <c r="AF565" s="79">
        <v>44994.911319444444</v>
      </c>
      <c r="AG565" s="85">
        <v>44994</v>
      </c>
      <c r="AH565" s="82" t="s">
        <v>3315</v>
      </c>
      <c r="AI565" s="77" t="b">
        <v>0</v>
      </c>
      <c r="AJ565" s="77"/>
      <c r="AK565" s="77"/>
      <c r="AL565" s="77"/>
      <c r="AM565" s="77"/>
      <c r="AN565" s="77"/>
      <c r="AO565" s="77"/>
      <c r="AP565" s="77"/>
      <c r="AQ565" s="77" t="s">
        <v>4171</v>
      </c>
      <c r="AR565" s="77"/>
      <c r="AS565" s="77"/>
      <c r="AT565" s="77"/>
      <c r="AU565" s="77"/>
      <c r="AV565" s="80" t="str">
        <f>HYPERLINK("https://pbs.twimg.com/media/Fqzz0fGWYAQYTpb.jpg")</f>
        <v>https://pbs.twimg.com/media/Fqzz0fGWYAQYTpb.jpg</v>
      </c>
      <c r="AW565" s="82" t="s">
        <v>4898</v>
      </c>
      <c r="AX565" s="82" t="s">
        <v>4898</v>
      </c>
      <c r="AY565" s="77"/>
      <c r="AZ565" s="82" t="s">
        <v>5615</v>
      </c>
      <c r="BA565" s="82" t="s">
        <v>5615</v>
      </c>
      <c r="BB565" s="82" t="s">
        <v>5615</v>
      </c>
      <c r="BC565" s="82" t="s">
        <v>4898</v>
      </c>
      <c r="BD565" s="82" t="s">
        <v>6014</v>
      </c>
      <c r="BE565" s="77"/>
      <c r="BF565" s="77"/>
      <c r="BG565" s="77"/>
      <c r="BH565" s="77"/>
      <c r="BI565" s="77"/>
    </row>
    <row r="566" spans="1:61" x14ac:dyDescent="0.25">
      <c r="A566" s="62" t="s">
        <v>448</v>
      </c>
      <c r="B566" s="62" t="s">
        <v>567</v>
      </c>
      <c r="C566" s="63"/>
      <c r="D566" s="64"/>
      <c r="E566" s="65"/>
      <c r="F566" s="66"/>
      <c r="G566" s="63"/>
      <c r="H566" s="67"/>
      <c r="I566" s="68"/>
      <c r="J566" s="68"/>
      <c r="K566" s="32"/>
      <c r="L566" s="75">
        <v>566</v>
      </c>
      <c r="M566" s="75"/>
      <c r="N566" s="70"/>
      <c r="O566" s="77" t="s">
        <v>586</v>
      </c>
      <c r="P566" s="79">
        <v>45048.024074074077</v>
      </c>
      <c r="Q566" s="77" t="s">
        <v>1116</v>
      </c>
      <c r="R566" s="77">
        <v>0</v>
      </c>
      <c r="S566" s="77">
        <v>0</v>
      </c>
      <c r="T566" s="77">
        <v>0</v>
      </c>
      <c r="U566" s="77">
        <v>0</v>
      </c>
      <c r="V566" s="77">
        <v>13</v>
      </c>
      <c r="W566" s="82" t="s">
        <v>1907</v>
      </c>
      <c r="X566" s="80" t="str">
        <f>HYPERLINK("https://youtu.be/ldwDexlTh_Y")</f>
        <v>https://youtu.be/ldwDexlTh_Y</v>
      </c>
      <c r="Y566" s="77" t="s">
        <v>2153</v>
      </c>
      <c r="Z566" s="77" t="s">
        <v>567</v>
      </c>
      <c r="AA566" s="77"/>
      <c r="AB566" s="77"/>
      <c r="AC566" s="82" t="s">
        <v>2722</v>
      </c>
      <c r="AD566" s="77" t="s">
        <v>2752</v>
      </c>
      <c r="AE566" s="80" t="str">
        <f>HYPERLINK("https://twitter.com/lucaspereira_ef/status/1653196271765561344")</f>
        <v>https://twitter.com/lucaspereira_ef/status/1653196271765561344</v>
      </c>
      <c r="AF566" s="79">
        <v>45048.024074074077</v>
      </c>
      <c r="AG566" s="85">
        <v>45048</v>
      </c>
      <c r="AH566" s="82" t="s">
        <v>3316</v>
      </c>
      <c r="AI566" s="77" t="b">
        <v>0</v>
      </c>
      <c r="AJ566" s="77"/>
      <c r="AK566" s="77"/>
      <c r="AL566" s="77"/>
      <c r="AM566" s="77"/>
      <c r="AN566" s="77"/>
      <c r="AO566" s="77"/>
      <c r="AP566" s="77"/>
      <c r="AQ566" s="77"/>
      <c r="AR566" s="77"/>
      <c r="AS566" s="77"/>
      <c r="AT566" s="77"/>
      <c r="AU566" s="77"/>
      <c r="AV566" s="80" t="str">
        <f>HYPERLINK("https://pbs.twimg.com/profile_images/1628185029837832193/Qb7BI_Jj_normal.jpg")</f>
        <v>https://pbs.twimg.com/profile_images/1628185029837832193/Qb7BI_Jj_normal.jpg</v>
      </c>
      <c r="AW566" s="82" t="s">
        <v>4899</v>
      </c>
      <c r="AX566" s="82" t="s">
        <v>4899</v>
      </c>
      <c r="AY566" s="77"/>
      <c r="AZ566" s="82" t="s">
        <v>5615</v>
      </c>
      <c r="BA566" s="82" t="s">
        <v>5615</v>
      </c>
      <c r="BB566" s="82" t="s">
        <v>5615</v>
      </c>
      <c r="BC566" s="82" t="s">
        <v>4899</v>
      </c>
      <c r="BD566" s="82" t="s">
        <v>6015</v>
      </c>
      <c r="BE566" s="77"/>
      <c r="BF566" s="77"/>
      <c r="BG566" s="77"/>
      <c r="BH566" s="77"/>
      <c r="BI566" s="77"/>
    </row>
    <row r="567" spans="1:61" x14ac:dyDescent="0.25">
      <c r="A567" s="62" t="s">
        <v>449</v>
      </c>
      <c r="B567" s="62" t="s">
        <v>449</v>
      </c>
      <c r="C567" s="63"/>
      <c r="D567" s="64"/>
      <c r="E567" s="65"/>
      <c r="F567" s="66"/>
      <c r="G567" s="63"/>
      <c r="H567" s="67"/>
      <c r="I567" s="68"/>
      <c r="J567" s="68"/>
      <c r="K567" s="32"/>
      <c r="L567" s="75">
        <v>567</v>
      </c>
      <c r="M567" s="75"/>
      <c r="N567" s="70"/>
      <c r="O567" s="77" t="s">
        <v>179</v>
      </c>
      <c r="P567" s="79">
        <v>45003.944224537037</v>
      </c>
      <c r="Q567" s="77" t="s">
        <v>1117</v>
      </c>
      <c r="R567" s="77">
        <v>0</v>
      </c>
      <c r="S567" s="77">
        <v>0</v>
      </c>
      <c r="T567" s="77">
        <v>0</v>
      </c>
      <c r="U567" s="77">
        <v>0</v>
      </c>
      <c r="V567" s="77">
        <v>9</v>
      </c>
      <c r="W567" s="82" t="s">
        <v>1908</v>
      </c>
      <c r="X567" s="77"/>
      <c r="Y567" s="77"/>
      <c r="Z567" s="77"/>
      <c r="AA567" s="77" t="s">
        <v>2546</v>
      </c>
      <c r="AB567" s="77" t="s">
        <v>2713</v>
      </c>
      <c r="AC567" s="82" t="s">
        <v>2719</v>
      </c>
      <c r="AD567" s="77" t="s">
        <v>2752</v>
      </c>
      <c r="AE567" s="80" t="str">
        <f>HYPERLINK("https://twitter.com/jotavela/status/1637222269251383297")</f>
        <v>https://twitter.com/jotavela/status/1637222269251383297</v>
      </c>
      <c r="AF567" s="79">
        <v>45003.944224537037</v>
      </c>
      <c r="AG567" s="85">
        <v>45003</v>
      </c>
      <c r="AH567" s="82" t="s">
        <v>3317</v>
      </c>
      <c r="AI567" s="77" t="b">
        <v>0</v>
      </c>
      <c r="AJ567" s="77"/>
      <c r="AK567" s="77"/>
      <c r="AL567" s="77"/>
      <c r="AM567" s="77"/>
      <c r="AN567" s="77"/>
      <c r="AO567" s="77"/>
      <c r="AP567" s="77"/>
      <c r="AQ567" s="77" t="s">
        <v>4172</v>
      </c>
      <c r="AR567" s="77">
        <v>7533</v>
      </c>
      <c r="AS567" s="77"/>
      <c r="AT567" s="77"/>
      <c r="AU567" s="77"/>
      <c r="AV567" s="80" t="str">
        <f>HYPERLINK("https://pbs.twimg.com/ext_tw_video_thumb/1637222184539107335/pu/img/TVAGRcLccjfhTKs5.jpg")</f>
        <v>https://pbs.twimg.com/ext_tw_video_thumb/1637222184539107335/pu/img/TVAGRcLccjfhTKs5.jpg</v>
      </c>
      <c r="AW567" s="82" t="s">
        <v>4900</v>
      </c>
      <c r="AX567" s="82" t="s">
        <v>4900</v>
      </c>
      <c r="AY567" s="77"/>
      <c r="AZ567" s="82" t="s">
        <v>5615</v>
      </c>
      <c r="BA567" s="82" t="s">
        <v>5615</v>
      </c>
      <c r="BB567" s="82" t="s">
        <v>5615</v>
      </c>
      <c r="BC567" s="82" t="s">
        <v>4900</v>
      </c>
      <c r="BD567" s="77">
        <v>40364468</v>
      </c>
      <c r="BE567" s="77"/>
      <c r="BF567" s="77"/>
      <c r="BG567" s="77"/>
      <c r="BH567" s="77"/>
      <c r="BI567" s="77"/>
    </row>
    <row r="568" spans="1:61" x14ac:dyDescent="0.25">
      <c r="A568" s="62" t="s">
        <v>450</v>
      </c>
      <c r="B568" s="62" t="s">
        <v>450</v>
      </c>
      <c r="C568" s="63"/>
      <c r="D568" s="64"/>
      <c r="E568" s="65"/>
      <c r="F568" s="66"/>
      <c r="G568" s="63"/>
      <c r="H568" s="67"/>
      <c r="I568" s="68"/>
      <c r="J568" s="68"/>
      <c r="K568" s="32"/>
      <c r="L568" s="75">
        <v>568</v>
      </c>
      <c r="M568" s="75"/>
      <c r="N568" s="70"/>
      <c r="O568" s="77" t="s">
        <v>179</v>
      </c>
      <c r="P568" s="79">
        <v>44985.615555555552</v>
      </c>
      <c r="Q568" s="77" t="s">
        <v>1118</v>
      </c>
      <c r="R568" s="77">
        <v>0</v>
      </c>
      <c r="S568" s="77">
        <v>0</v>
      </c>
      <c r="T568" s="77">
        <v>0</v>
      </c>
      <c r="U568" s="77">
        <v>0</v>
      </c>
      <c r="V568" s="77">
        <v>14</v>
      </c>
      <c r="W568" s="82" t="s">
        <v>1909</v>
      </c>
      <c r="X568" s="80" t="str">
        <f>HYPERLINK("https://vm.tiktok.com/ZMYUVrg2c/")</f>
        <v>https://vm.tiktok.com/ZMYUVrg2c/</v>
      </c>
      <c r="Y568" s="77" t="s">
        <v>2161</v>
      </c>
      <c r="Z568" s="77"/>
      <c r="AA568" s="77"/>
      <c r="AB568" s="77"/>
      <c r="AC568" s="82" t="s">
        <v>2720</v>
      </c>
      <c r="AD568" s="77" t="s">
        <v>2752</v>
      </c>
      <c r="AE568" s="80" t="str">
        <f>HYPERLINK("https://twitter.com/mentemillionar/status/1630580182011506690")</f>
        <v>https://twitter.com/mentemillionar/status/1630580182011506690</v>
      </c>
      <c r="AF568" s="79">
        <v>44985.615555555552</v>
      </c>
      <c r="AG568" s="85">
        <v>44985</v>
      </c>
      <c r="AH568" s="82" t="s">
        <v>3318</v>
      </c>
      <c r="AI568" s="77" t="b">
        <v>0</v>
      </c>
      <c r="AJ568" s="77"/>
      <c r="AK568" s="77"/>
      <c r="AL568" s="77"/>
      <c r="AM568" s="77"/>
      <c r="AN568" s="77"/>
      <c r="AO568" s="77"/>
      <c r="AP568" s="77"/>
      <c r="AQ568" s="77"/>
      <c r="AR568" s="77"/>
      <c r="AS568" s="77"/>
      <c r="AT568" s="77"/>
      <c r="AU568" s="77"/>
      <c r="AV568" s="80" t="str">
        <f>HYPERLINK("https://pbs.twimg.com/profile_images/1641190667698184193/Y-MyxQho_normal.jpg")</f>
        <v>https://pbs.twimg.com/profile_images/1641190667698184193/Y-MyxQho_normal.jpg</v>
      </c>
      <c r="AW568" s="82" t="s">
        <v>4901</v>
      </c>
      <c r="AX568" s="82" t="s">
        <v>4901</v>
      </c>
      <c r="AY568" s="77"/>
      <c r="AZ568" s="82" t="s">
        <v>5615</v>
      </c>
      <c r="BA568" s="82" t="s">
        <v>5615</v>
      </c>
      <c r="BB568" s="82" t="s">
        <v>5615</v>
      </c>
      <c r="BC568" s="82" t="s">
        <v>4901</v>
      </c>
      <c r="BD568" s="82" t="s">
        <v>6016</v>
      </c>
      <c r="BE568" s="77"/>
      <c r="BF568" s="77"/>
      <c r="BG568" s="77"/>
      <c r="BH568" s="77"/>
      <c r="BI568" s="77"/>
    </row>
    <row r="569" spans="1:61" x14ac:dyDescent="0.25">
      <c r="A569" s="62" t="s">
        <v>451</v>
      </c>
      <c r="B569" s="62" t="s">
        <v>451</v>
      </c>
      <c r="C569" s="63"/>
      <c r="D569" s="64"/>
      <c r="E569" s="65"/>
      <c r="F569" s="66"/>
      <c r="G569" s="63"/>
      <c r="H569" s="67"/>
      <c r="I569" s="68"/>
      <c r="J569" s="68"/>
      <c r="K569" s="32"/>
      <c r="L569" s="75">
        <v>569</v>
      </c>
      <c r="M569" s="75"/>
      <c r="N569" s="70"/>
      <c r="O569" s="77" t="s">
        <v>179</v>
      </c>
      <c r="P569" s="79">
        <v>45127.58693287037</v>
      </c>
      <c r="Q569" s="77" t="s">
        <v>1119</v>
      </c>
      <c r="R569" s="77">
        <v>0</v>
      </c>
      <c r="S569" s="77">
        <v>0</v>
      </c>
      <c r="T569" s="77">
        <v>0</v>
      </c>
      <c r="U569" s="77">
        <v>0</v>
      </c>
      <c r="V569" s="77">
        <v>21</v>
      </c>
      <c r="W569" s="82" t="s">
        <v>1910</v>
      </c>
      <c r="X569" s="77"/>
      <c r="Y569" s="77"/>
      <c r="Z569" s="77"/>
      <c r="AA569" s="77"/>
      <c r="AB569" s="77"/>
      <c r="AC569" s="82" t="s">
        <v>2719</v>
      </c>
      <c r="AD569" s="77" t="s">
        <v>2752</v>
      </c>
      <c r="AE569" s="80" t="str">
        <f>HYPERLINK("https://twitter.com/iberezanski/status/1682028883410059271")</f>
        <v>https://twitter.com/iberezanski/status/1682028883410059271</v>
      </c>
      <c r="AF569" s="79">
        <v>45127.58693287037</v>
      </c>
      <c r="AG569" s="85">
        <v>45127</v>
      </c>
      <c r="AH569" s="82" t="s">
        <v>3319</v>
      </c>
      <c r="AI569" s="77"/>
      <c r="AJ569" s="77"/>
      <c r="AK569" s="77"/>
      <c r="AL569" s="77"/>
      <c r="AM569" s="77"/>
      <c r="AN569" s="77"/>
      <c r="AO569" s="77"/>
      <c r="AP569" s="77"/>
      <c r="AQ569" s="77"/>
      <c r="AR569" s="77"/>
      <c r="AS569" s="77"/>
      <c r="AT569" s="77"/>
      <c r="AU569" s="77"/>
      <c r="AV569" s="80" t="str">
        <f>HYPERLINK("https://pbs.twimg.com/profile_images/1667326263093067777/r3PmTWr2_normal.jpg")</f>
        <v>https://pbs.twimg.com/profile_images/1667326263093067777/r3PmTWr2_normal.jpg</v>
      </c>
      <c r="AW569" s="82" t="s">
        <v>4902</v>
      </c>
      <c r="AX569" s="82" t="s">
        <v>4902</v>
      </c>
      <c r="AY569" s="77"/>
      <c r="AZ569" s="82" t="s">
        <v>5615</v>
      </c>
      <c r="BA569" s="82" t="s">
        <v>5615</v>
      </c>
      <c r="BB569" s="82" t="s">
        <v>5615</v>
      </c>
      <c r="BC569" s="82" t="s">
        <v>4902</v>
      </c>
      <c r="BD569" s="82" t="s">
        <v>6017</v>
      </c>
      <c r="BE569" s="77"/>
      <c r="BF569" s="77"/>
      <c r="BG569" s="77"/>
      <c r="BH569" s="77"/>
      <c r="BI569" s="77"/>
    </row>
    <row r="570" spans="1:61" x14ac:dyDescent="0.25">
      <c r="A570" s="62" t="s">
        <v>452</v>
      </c>
      <c r="B570" s="62" t="s">
        <v>452</v>
      </c>
      <c r="C570" s="63"/>
      <c r="D570" s="64"/>
      <c r="E570" s="65"/>
      <c r="F570" s="66"/>
      <c r="G570" s="63"/>
      <c r="H570" s="67"/>
      <c r="I570" s="68"/>
      <c r="J570" s="68"/>
      <c r="K570" s="32"/>
      <c r="L570" s="75">
        <v>570</v>
      </c>
      <c r="M570" s="75"/>
      <c r="N570" s="70"/>
      <c r="O570" s="77" t="s">
        <v>179</v>
      </c>
      <c r="P570" s="79">
        <v>45127.973657407405</v>
      </c>
      <c r="Q570" s="77" t="s">
        <v>1120</v>
      </c>
      <c r="R570" s="77">
        <v>0</v>
      </c>
      <c r="S570" s="77">
        <v>0</v>
      </c>
      <c r="T570" s="77">
        <v>0</v>
      </c>
      <c r="U570" s="77">
        <v>0</v>
      </c>
      <c r="V570" s="77">
        <v>103</v>
      </c>
      <c r="W570" s="82" t="s">
        <v>1911</v>
      </c>
      <c r="X570" s="77"/>
      <c r="Y570" s="77"/>
      <c r="Z570" s="77"/>
      <c r="AA570" s="77" t="s">
        <v>2547</v>
      </c>
      <c r="AB570" s="77" t="s">
        <v>2713</v>
      </c>
      <c r="AC570" s="82" t="s">
        <v>2720</v>
      </c>
      <c r="AD570" s="77" t="s">
        <v>2752</v>
      </c>
      <c r="AE570" s="80" t="str">
        <f>HYPERLINK("https://twitter.com/lucassi73345017/status/1682169031313244161")</f>
        <v>https://twitter.com/lucassi73345017/status/1682169031313244161</v>
      </c>
      <c r="AF570" s="79">
        <v>45127.973657407405</v>
      </c>
      <c r="AG570" s="85">
        <v>45127</v>
      </c>
      <c r="AH570" s="82" t="s">
        <v>3320</v>
      </c>
      <c r="AI570" s="77" t="b">
        <v>0</v>
      </c>
      <c r="AJ570" s="77"/>
      <c r="AK570" s="77"/>
      <c r="AL570" s="77"/>
      <c r="AM570" s="77"/>
      <c r="AN570" s="77"/>
      <c r="AO570" s="77"/>
      <c r="AP570" s="77"/>
      <c r="AQ570" s="77" t="s">
        <v>4173</v>
      </c>
      <c r="AR570" s="77">
        <v>14800</v>
      </c>
      <c r="AS570" s="77"/>
      <c r="AT570" s="77"/>
      <c r="AU570" s="77"/>
      <c r="AV570" s="80" t="str">
        <f>HYPERLINK("https://pbs.twimg.com/ext_tw_video_thumb/1682168984316043264/pu/img/xK07CF52LCkK2ESX.jpg")</f>
        <v>https://pbs.twimg.com/ext_tw_video_thumb/1682168984316043264/pu/img/xK07CF52LCkK2ESX.jpg</v>
      </c>
      <c r="AW570" s="82" t="s">
        <v>4903</v>
      </c>
      <c r="AX570" s="82" t="s">
        <v>4903</v>
      </c>
      <c r="AY570" s="77"/>
      <c r="AZ570" s="82" t="s">
        <v>5615</v>
      </c>
      <c r="BA570" s="82" t="s">
        <v>5615</v>
      </c>
      <c r="BB570" s="82" t="s">
        <v>5615</v>
      </c>
      <c r="BC570" s="82" t="s">
        <v>4903</v>
      </c>
      <c r="BD570" s="82" t="s">
        <v>6018</v>
      </c>
      <c r="BE570" s="77"/>
      <c r="BF570" s="77"/>
      <c r="BG570" s="77"/>
      <c r="BH570" s="77"/>
      <c r="BI570" s="77"/>
    </row>
    <row r="571" spans="1:61" x14ac:dyDescent="0.25">
      <c r="A571" s="62" t="s">
        <v>453</v>
      </c>
      <c r="B571" s="62" t="s">
        <v>453</v>
      </c>
      <c r="C571" s="63"/>
      <c r="D571" s="64"/>
      <c r="E571" s="65"/>
      <c r="F571" s="66"/>
      <c r="G571" s="63"/>
      <c r="H571" s="67"/>
      <c r="I571" s="68"/>
      <c r="J571" s="68"/>
      <c r="K571" s="32"/>
      <c r="L571" s="75">
        <v>571</v>
      </c>
      <c r="M571" s="75"/>
      <c r="N571" s="70"/>
      <c r="O571" s="77" t="s">
        <v>179</v>
      </c>
      <c r="P571" s="79">
        <v>45015.788252314815</v>
      </c>
      <c r="Q571" s="77" t="s">
        <v>1121</v>
      </c>
      <c r="R571" s="77">
        <v>0</v>
      </c>
      <c r="S571" s="77">
        <v>0</v>
      </c>
      <c r="T571" s="77">
        <v>0</v>
      </c>
      <c r="U571" s="77">
        <v>0</v>
      </c>
      <c r="V571" s="77">
        <v>36</v>
      </c>
      <c r="W571" s="82" t="s">
        <v>1912</v>
      </c>
      <c r="X571" s="80" t="str">
        <f>HYPERLINK("https://www.youtube.com/watch?v=6ZG4--B0rc0")</f>
        <v>https://www.youtube.com/watch?v=6ZG4--B0rc0</v>
      </c>
      <c r="Y571" s="77" t="s">
        <v>2140</v>
      </c>
      <c r="Z571" s="77"/>
      <c r="AA571" s="77"/>
      <c r="AB571" s="77"/>
      <c r="AC571" s="82" t="s">
        <v>2732</v>
      </c>
      <c r="AD571" s="77" t="s">
        <v>2752</v>
      </c>
      <c r="AE571" s="80" t="str">
        <f>HYPERLINK("https://twitter.com/wagnergeremia/status/1641514398542880789")</f>
        <v>https://twitter.com/wagnergeremia/status/1641514398542880789</v>
      </c>
      <c r="AF571" s="79">
        <v>45015.788252314815</v>
      </c>
      <c r="AG571" s="85">
        <v>45015</v>
      </c>
      <c r="AH571" s="82" t="s">
        <v>3321</v>
      </c>
      <c r="AI571" s="77" t="b">
        <v>0</v>
      </c>
      <c r="AJ571" s="77"/>
      <c r="AK571" s="77"/>
      <c r="AL571" s="77"/>
      <c r="AM571" s="77"/>
      <c r="AN571" s="77"/>
      <c r="AO571" s="77"/>
      <c r="AP571" s="77"/>
      <c r="AQ571" s="77"/>
      <c r="AR571" s="77"/>
      <c r="AS571" s="77"/>
      <c r="AT571" s="77"/>
      <c r="AU571" s="77"/>
      <c r="AV571" s="80" t="str">
        <f>HYPERLINK("https://pbs.twimg.com/profile_images/1621519372962639872/-AUYl2x6_normal.jpg")</f>
        <v>https://pbs.twimg.com/profile_images/1621519372962639872/-AUYl2x6_normal.jpg</v>
      </c>
      <c r="AW571" s="82" t="s">
        <v>4904</v>
      </c>
      <c r="AX571" s="82" t="s">
        <v>4904</v>
      </c>
      <c r="AY571" s="77"/>
      <c r="AZ571" s="82" t="s">
        <v>5615</v>
      </c>
      <c r="BA571" s="82" t="s">
        <v>5615</v>
      </c>
      <c r="BB571" s="82" t="s">
        <v>5615</v>
      </c>
      <c r="BC571" s="82" t="s">
        <v>4904</v>
      </c>
      <c r="BD571" s="77">
        <v>438488077</v>
      </c>
      <c r="BE571" s="77"/>
      <c r="BF571" s="77"/>
      <c r="BG571" s="77"/>
      <c r="BH571" s="77"/>
      <c r="BI571" s="77"/>
    </row>
    <row r="572" spans="1:61" x14ac:dyDescent="0.25">
      <c r="A572" s="62" t="s">
        <v>454</v>
      </c>
      <c r="B572" s="62" t="s">
        <v>454</v>
      </c>
      <c r="C572" s="63"/>
      <c r="D572" s="64"/>
      <c r="E572" s="65"/>
      <c r="F572" s="66"/>
      <c r="G572" s="63"/>
      <c r="H572" s="67"/>
      <c r="I572" s="68"/>
      <c r="J572" s="68"/>
      <c r="K572" s="32"/>
      <c r="L572" s="75">
        <v>572</v>
      </c>
      <c r="M572" s="75"/>
      <c r="N572" s="70"/>
      <c r="O572" s="77" t="s">
        <v>179</v>
      </c>
      <c r="P572" s="79">
        <v>45061.880370370367</v>
      </c>
      <c r="Q572" s="77" t="s">
        <v>1122</v>
      </c>
      <c r="R572" s="77">
        <v>0</v>
      </c>
      <c r="S572" s="77">
        <v>1</v>
      </c>
      <c r="T572" s="77">
        <v>0</v>
      </c>
      <c r="U572" s="77">
        <v>0</v>
      </c>
      <c r="V572" s="77">
        <v>81</v>
      </c>
      <c r="W572" s="82" t="s">
        <v>1913</v>
      </c>
      <c r="X572" s="77"/>
      <c r="Y572" s="77"/>
      <c r="Z572" s="77"/>
      <c r="AA572" s="77" t="s">
        <v>2548</v>
      </c>
      <c r="AB572" s="77" t="s">
        <v>2714</v>
      </c>
      <c r="AC572" s="82" t="s">
        <v>2720</v>
      </c>
      <c r="AD572" s="77" t="s">
        <v>2752</v>
      </c>
      <c r="AE572" s="80" t="str">
        <f>HYPERLINK("https://twitter.com/seiacoes/status/1658217625758097408")</f>
        <v>https://twitter.com/seiacoes/status/1658217625758097408</v>
      </c>
      <c r="AF572" s="79">
        <v>45061.880370370367</v>
      </c>
      <c r="AG572" s="85">
        <v>45061</v>
      </c>
      <c r="AH572" s="82" t="s">
        <v>3322</v>
      </c>
      <c r="AI572" s="77" t="b">
        <v>0</v>
      </c>
      <c r="AJ572" s="77" t="s">
        <v>3746</v>
      </c>
      <c r="AK572" s="77" t="s">
        <v>3753</v>
      </c>
      <c r="AL572" s="77" t="s">
        <v>3756</v>
      </c>
      <c r="AM572" s="77" t="s">
        <v>3768</v>
      </c>
      <c r="AN572" s="77" t="s">
        <v>3786</v>
      </c>
      <c r="AO572" s="77" t="s">
        <v>3802</v>
      </c>
      <c r="AP572" s="77" t="s">
        <v>3808</v>
      </c>
      <c r="AQ572" s="77" t="s">
        <v>4174</v>
      </c>
      <c r="AR572" s="77"/>
      <c r="AS572" s="77"/>
      <c r="AT572" s="77"/>
      <c r="AU572" s="77"/>
      <c r="AV572" s="80" t="str">
        <f>HYPERLINK("https://pbs.twimg.com/media/FwMsI4ZWIAQ1xcN.jpg")</f>
        <v>https://pbs.twimg.com/media/FwMsI4ZWIAQ1xcN.jpg</v>
      </c>
      <c r="AW572" s="82" t="s">
        <v>4905</v>
      </c>
      <c r="AX572" s="82" t="s">
        <v>4905</v>
      </c>
      <c r="AY572" s="77"/>
      <c r="AZ572" s="82" t="s">
        <v>5615</v>
      </c>
      <c r="BA572" s="82" t="s">
        <v>5615</v>
      </c>
      <c r="BB572" s="82" t="s">
        <v>5615</v>
      </c>
      <c r="BC572" s="82" t="s">
        <v>4905</v>
      </c>
      <c r="BD572" s="82" t="s">
        <v>6019</v>
      </c>
      <c r="BE572" s="77"/>
      <c r="BF572" s="77"/>
      <c r="BG572" s="77"/>
      <c r="BH572" s="77"/>
      <c r="BI572" s="77"/>
    </row>
    <row r="573" spans="1:61" x14ac:dyDescent="0.25">
      <c r="A573" s="62" t="s">
        <v>455</v>
      </c>
      <c r="B573" s="62" t="s">
        <v>455</v>
      </c>
      <c r="C573" s="63"/>
      <c r="D573" s="64"/>
      <c r="E573" s="65"/>
      <c r="F573" s="66"/>
      <c r="G573" s="63"/>
      <c r="H573" s="67"/>
      <c r="I573" s="68"/>
      <c r="J573" s="68"/>
      <c r="K573" s="32"/>
      <c r="L573" s="75">
        <v>573</v>
      </c>
      <c r="M573" s="75"/>
      <c r="N573" s="70"/>
      <c r="O573" s="77" t="s">
        <v>179</v>
      </c>
      <c r="P573" s="79">
        <v>44965.956793981481</v>
      </c>
      <c r="Q573" s="77" t="s">
        <v>1123</v>
      </c>
      <c r="R573" s="77">
        <v>0</v>
      </c>
      <c r="S573" s="77">
        <v>0</v>
      </c>
      <c r="T573" s="77">
        <v>0</v>
      </c>
      <c r="U573" s="77">
        <v>0</v>
      </c>
      <c r="V573" s="77">
        <v>151</v>
      </c>
      <c r="W573" s="82" t="s">
        <v>1914</v>
      </c>
      <c r="X573" s="80" t="str">
        <f>HYPERLINK("http://www.linearpay.com.br")</f>
        <v>http://www.linearpay.com.br</v>
      </c>
      <c r="Y573" s="77" t="s">
        <v>2129</v>
      </c>
      <c r="Z573" s="77"/>
      <c r="AA573" s="77" t="s">
        <v>2549</v>
      </c>
      <c r="AB573" s="77" t="s">
        <v>2714</v>
      </c>
      <c r="AC573" s="82" t="s">
        <v>2722</v>
      </c>
      <c r="AD573" s="77" t="s">
        <v>2752</v>
      </c>
      <c r="AE573" s="80" t="str">
        <f>HYPERLINK("https://twitter.com/linearpay/status/1623456085049851907")</f>
        <v>https://twitter.com/linearpay/status/1623456085049851907</v>
      </c>
      <c r="AF573" s="79">
        <v>44965.956793981481</v>
      </c>
      <c r="AG573" s="85">
        <v>44965</v>
      </c>
      <c r="AH573" s="82" t="s">
        <v>3323</v>
      </c>
      <c r="AI573" s="77" t="b">
        <v>0</v>
      </c>
      <c r="AJ573" s="77"/>
      <c r="AK573" s="77"/>
      <c r="AL573" s="77"/>
      <c r="AM573" s="77"/>
      <c r="AN573" s="77"/>
      <c r="AO573" s="77"/>
      <c r="AP573" s="77"/>
      <c r="AQ573" s="77" t="s">
        <v>4175</v>
      </c>
      <c r="AR573" s="77"/>
      <c r="AS573" s="77"/>
      <c r="AT573" s="77"/>
      <c r="AU573" s="77"/>
      <c r="AV573" s="80" t="str">
        <f>HYPERLINK("https://pbs.twimg.com/media/FoessyrWcAALL44.jpg")</f>
        <v>https://pbs.twimg.com/media/FoessyrWcAALL44.jpg</v>
      </c>
      <c r="AW573" s="82" t="s">
        <v>4906</v>
      </c>
      <c r="AX573" s="82" t="s">
        <v>4906</v>
      </c>
      <c r="AY573" s="77"/>
      <c r="AZ573" s="82" t="s">
        <v>5615</v>
      </c>
      <c r="BA573" s="82" t="s">
        <v>5615</v>
      </c>
      <c r="BB573" s="82" t="s">
        <v>5615</v>
      </c>
      <c r="BC573" s="82" t="s">
        <v>4906</v>
      </c>
      <c r="BD573" s="82" t="s">
        <v>6020</v>
      </c>
      <c r="BE573" s="77"/>
      <c r="BF573" s="77"/>
      <c r="BG573" s="77"/>
      <c r="BH573" s="77"/>
      <c r="BI573" s="77"/>
    </row>
    <row r="574" spans="1:61" x14ac:dyDescent="0.25">
      <c r="A574" s="62" t="s">
        <v>456</v>
      </c>
      <c r="B574" s="62" t="s">
        <v>456</v>
      </c>
      <c r="C574" s="63"/>
      <c r="D574" s="64"/>
      <c r="E574" s="65"/>
      <c r="F574" s="66"/>
      <c r="G574" s="63"/>
      <c r="H574" s="67"/>
      <c r="I574" s="68"/>
      <c r="J574" s="68"/>
      <c r="K574" s="32"/>
      <c r="L574" s="75">
        <v>574</v>
      </c>
      <c r="M574" s="75"/>
      <c r="N574" s="70"/>
      <c r="O574" s="77" t="s">
        <v>179</v>
      </c>
      <c r="P574" s="79">
        <v>45154.896111111113</v>
      </c>
      <c r="Q574" s="77" t="s">
        <v>1124</v>
      </c>
      <c r="R574" s="77">
        <v>0</v>
      </c>
      <c r="S574" s="77">
        <v>0</v>
      </c>
      <c r="T574" s="77">
        <v>0</v>
      </c>
      <c r="U574" s="77">
        <v>0</v>
      </c>
      <c r="V574" s="77">
        <v>25</v>
      </c>
      <c r="W574" s="82" t="s">
        <v>1915</v>
      </c>
      <c r="X574" s="77"/>
      <c r="Y574" s="77"/>
      <c r="Z574" s="77"/>
      <c r="AA574" s="77" t="s">
        <v>2550</v>
      </c>
      <c r="AB574" s="77" t="s">
        <v>2714</v>
      </c>
      <c r="AC574" s="82" t="s">
        <v>2732</v>
      </c>
      <c r="AD574" s="77" t="s">
        <v>2752</v>
      </c>
      <c r="AE574" s="80" t="str">
        <f>HYPERLINK("https://twitter.com/francelmc/status/1691925398043419040")</f>
        <v>https://twitter.com/francelmc/status/1691925398043419040</v>
      </c>
      <c r="AF574" s="79">
        <v>45154.896111111113</v>
      </c>
      <c r="AG574" s="85">
        <v>45154</v>
      </c>
      <c r="AH574" s="82" t="s">
        <v>3324</v>
      </c>
      <c r="AI574" s="77" t="b">
        <v>0</v>
      </c>
      <c r="AJ574" s="77"/>
      <c r="AK574" s="77"/>
      <c r="AL574" s="77"/>
      <c r="AM574" s="77"/>
      <c r="AN574" s="77"/>
      <c r="AO574" s="77"/>
      <c r="AP574" s="77"/>
      <c r="AQ574" s="77" t="s">
        <v>4176</v>
      </c>
      <c r="AR574" s="77"/>
      <c r="AS574" s="77"/>
      <c r="AT574" s="77"/>
      <c r="AU574" s="77"/>
      <c r="AV574" s="80" t="str">
        <f>HYPERLINK("https://pbs.twimg.com/media/F3rtLuwWoAASXIJ.jpg")</f>
        <v>https://pbs.twimg.com/media/F3rtLuwWoAASXIJ.jpg</v>
      </c>
      <c r="AW574" s="82" t="s">
        <v>4907</v>
      </c>
      <c r="AX574" s="82" t="s">
        <v>4907</v>
      </c>
      <c r="AY574" s="77"/>
      <c r="AZ574" s="82" t="s">
        <v>5615</v>
      </c>
      <c r="BA574" s="82" t="s">
        <v>5615</v>
      </c>
      <c r="BB574" s="82" t="s">
        <v>5615</v>
      </c>
      <c r="BC574" s="82" t="s">
        <v>4907</v>
      </c>
      <c r="BD574" s="82" t="s">
        <v>6021</v>
      </c>
      <c r="BE574" s="77"/>
      <c r="BF574" s="77"/>
      <c r="BG574" s="77"/>
      <c r="BH574" s="77"/>
      <c r="BI574" s="77"/>
    </row>
    <row r="575" spans="1:61" x14ac:dyDescent="0.25">
      <c r="A575" s="62" t="s">
        <v>456</v>
      </c>
      <c r="B575" s="62" t="s">
        <v>456</v>
      </c>
      <c r="C575" s="63"/>
      <c r="D575" s="64"/>
      <c r="E575" s="65"/>
      <c r="F575" s="66"/>
      <c r="G575" s="63"/>
      <c r="H575" s="67"/>
      <c r="I575" s="68"/>
      <c r="J575" s="68"/>
      <c r="K575" s="32"/>
      <c r="L575" s="75">
        <v>575</v>
      </c>
      <c r="M575" s="75"/>
      <c r="N575" s="70"/>
      <c r="O575" s="77" t="s">
        <v>179</v>
      </c>
      <c r="P575" s="79">
        <v>45163.7503125</v>
      </c>
      <c r="Q575" s="77" t="s">
        <v>1125</v>
      </c>
      <c r="R575" s="77">
        <v>0</v>
      </c>
      <c r="S575" s="77">
        <v>0</v>
      </c>
      <c r="T575" s="77">
        <v>0</v>
      </c>
      <c r="U575" s="77">
        <v>0</v>
      </c>
      <c r="V575" s="77">
        <v>18</v>
      </c>
      <c r="W575" s="82" t="s">
        <v>1916</v>
      </c>
      <c r="X575" s="77"/>
      <c r="Y575" s="77"/>
      <c r="Z575" s="77"/>
      <c r="AA575" s="77" t="s">
        <v>2551</v>
      </c>
      <c r="AB575" s="77" t="s">
        <v>2714</v>
      </c>
      <c r="AC575" s="82" t="s">
        <v>2732</v>
      </c>
      <c r="AD575" s="77" t="s">
        <v>2752</v>
      </c>
      <c r="AE575" s="80" t="str">
        <f>HYPERLINK("https://twitter.com/francelmc/status/1695134054729883668")</f>
        <v>https://twitter.com/francelmc/status/1695134054729883668</v>
      </c>
      <c r="AF575" s="79">
        <v>45163.7503125</v>
      </c>
      <c r="AG575" s="85">
        <v>45163</v>
      </c>
      <c r="AH575" s="82" t="s">
        <v>3325</v>
      </c>
      <c r="AI575" s="77" t="b">
        <v>0</v>
      </c>
      <c r="AJ575" s="77"/>
      <c r="AK575" s="77"/>
      <c r="AL575" s="77"/>
      <c r="AM575" s="77"/>
      <c r="AN575" s="77"/>
      <c r="AO575" s="77"/>
      <c r="AP575" s="77"/>
      <c r="AQ575" s="77" t="s">
        <v>4177</v>
      </c>
      <c r="AR575" s="77"/>
      <c r="AS575" s="77"/>
      <c r="AT575" s="77"/>
      <c r="AU575" s="77"/>
      <c r="AV575" s="80" t="str">
        <f>HYPERLINK("https://pbs.twimg.com/media/F4ZTcJsXsAAfmdi.jpg")</f>
        <v>https://pbs.twimg.com/media/F4ZTcJsXsAAfmdi.jpg</v>
      </c>
      <c r="AW575" s="82" t="s">
        <v>4908</v>
      </c>
      <c r="AX575" s="82" t="s">
        <v>4908</v>
      </c>
      <c r="AY575" s="77"/>
      <c r="AZ575" s="82" t="s">
        <v>5615</v>
      </c>
      <c r="BA575" s="82" t="s">
        <v>5615</v>
      </c>
      <c r="BB575" s="82" t="s">
        <v>5615</v>
      </c>
      <c r="BC575" s="82" t="s">
        <v>4908</v>
      </c>
      <c r="BD575" s="82" t="s">
        <v>6021</v>
      </c>
      <c r="BE575" s="77"/>
      <c r="BF575" s="77"/>
      <c r="BG575" s="77"/>
      <c r="BH575" s="77"/>
      <c r="BI575" s="77"/>
    </row>
    <row r="576" spans="1:61" x14ac:dyDescent="0.25">
      <c r="A576" s="62" t="s">
        <v>457</v>
      </c>
      <c r="B576" s="62" t="s">
        <v>457</v>
      </c>
      <c r="C576" s="63"/>
      <c r="D576" s="64"/>
      <c r="E576" s="65"/>
      <c r="F576" s="66"/>
      <c r="G576" s="63"/>
      <c r="H576" s="67"/>
      <c r="I576" s="68"/>
      <c r="J576" s="68"/>
      <c r="K576" s="32"/>
      <c r="L576" s="75">
        <v>576</v>
      </c>
      <c r="M576" s="75"/>
      <c r="N576" s="70"/>
      <c r="O576" s="77" t="s">
        <v>179</v>
      </c>
      <c r="P576" s="79">
        <v>45135.961041666669</v>
      </c>
      <c r="Q576" s="77" t="s">
        <v>1126</v>
      </c>
      <c r="R576" s="77">
        <v>0</v>
      </c>
      <c r="S576" s="77">
        <v>3</v>
      </c>
      <c r="T576" s="77">
        <v>0</v>
      </c>
      <c r="U576" s="77">
        <v>0</v>
      </c>
      <c r="V576" s="77">
        <v>110</v>
      </c>
      <c r="W576" s="82" t="s">
        <v>1917</v>
      </c>
      <c r="X576" s="77"/>
      <c r="Y576" s="77"/>
      <c r="Z576" s="77"/>
      <c r="AA576" s="77" t="s">
        <v>2552</v>
      </c>
      <c r="AB576" s="77" t="s">
        <v>2714</v>
      </c>
      <c r="AC576" s="82" t="s">
        <v>2719</v>
      </c>
      <c r="AD576" s="77" t="s">
        <v>2754</v>
      </c>
      <c r="AE576" s="80" t="str">
        <f>HYPERLINK("https://twitter.com/palmezanip74904/status/1685063560567599105")</f>
        <v>https://twitter.com/palmezanip74904/status/1685063560567599105</v>
      </c>
      <c r="AF576" s="79">
        <v>45135.961041666669</v>
      </c>
      <c r="AG576" s="85">
        <v>45135</v>
      </c>
      <c r="AH576" s="82" t="s">
        <v>3326</v>
      </c>
      <c r="AI576" s="77" t="b">
        <v>0</v>
      </c>
      <c r="AJ576" s="77"/>
      <c r="AK576" s="77"/>
      <c r="AL576" s="77"/>
      <c r="AM576" s="77"/>
      <c r="AN576" s="77"/>
      <c r="AO576" s="77"/>
      <c r="AP576" s="77"/>
      <c r="AQ576" s="77" t="s">
        <v>4178</v>
      </c>
      <c r="AR576" s="77"/>
      <c r="AS576" s="77"/>
      <c r="AT576" s="77"/>
      <c r="AU576" s="77"/>
      <c r="AV576" s="80" t="str">
        <f>HYPERLINK("https://pbs.twimg.com/media/F2KMX0DWgAANoCe.jpg")</f>
        <v>https://pbs.twimg.com/media/F2KMX0DWgAANoCe.jpg</v>
      </c>
      <c r="AW576" s="82" t="s">
        <v>4909</v>
      </c>
      <c r="AX576" s="82" t="s">
        <v>4909</v>
      </c>
      <c r="AY576" s="77"/>
      <c r="AZ576" s="82" t="s">
        <v>5615</v>
      </c>
      <c r="BA576" s="82" t="s">
        <v>5615</v>
      </c>
      <c r="BB576" s="82" t="s">
        <v>5615</v>
      </c>
      <c r="BC576" s="82" t="s">
        <v>4909</v>
      </c>
      <c r="BD576" s="82" t="s">
        <v>6022</v>
      </c>
      <c r="BE576" s="77"/>
      <c r="BF576" s="77"/>
      <c r="BG576" s="77"/>
      <c r="BH576" s="77"/>
      <c r="BI576" s="77"/>
    </row>
    <row r="577" spans="1:61" x14ac:dyDescent="0.25">
      <c r="A577" s="62" t="s">
        <v>458</v>
      </c>
      <c r="B577" s="62" t="s">
        <v>458</v>
      </c>
      <c r="C577" s="63"/>
      <c r="D577" s="64"/>
      <c r="E577" s="65"/>
      <c r="F577" s="66"/>
      <c r="G577" s="63"/>
      <c r="H577" s="67"/>
      <c r="I577" s="68"/>
      <c r="J577" s="68"/>
      <c r="K577" s="32"/>
      <c r="L577" s="75">
        <v>577</v>
      </c>
      <c r="M577" s="75"/>
      <c r="N577" s="70"/>
      <c r="O577" s="77" t="s">
        <v>179</v>
      </c>
      <c r="P577" s="79">
        <v>44980.4375</v>
      </c>
      <c r="Q577" s="77" t="s">
        <v>1127</v>
      </c>
      <c r="R577" s="77">
        <v>0</v>
      </c>
      <c r="S577" s="77">
        <v>0</v>
      </c>
      <c r="T577" s="77">
        <v>0</v>
      </c>
      <c r="U577" s="77">
        <v>0</v>
      </c>
      <c r="V577" s="77">
        <v>13</v>
      </c>
      <c r="W577" s="82" t="s">
        <v>1918</v>
      </c>
      <c r="X577" s="77"/>
      <c r="Y577" s="77"/>
      <c r="Z577" s="77"/>
      <c r="AA577" s="77"/>
      <c r="AB577" s="77"/>
      <c r="AC577" s="82" t="s">
        <v>2722</v>
      </c>
      <c r="AD577" s="77" t="s">
        <v>2752</v>
      </c>
      <c r="AE577" s="80" t="str">
        <f>HYPERLINK("https://twitter.com/almepoupa/status/1628703717431119872")</f>
        <v>https://twitter.com/almepoupa/status/1628703717431119872</v>
      </c>
      <c r="AF577" s="79">
        <v>44980.4375</v>
      </c>
      <c r="AG577" s="85">
        <v>44980</v>
      </c>
      <c r="AH577" s="82" t="s">
        <v>3327</v>
      </c>
      <c r="AI577" s="77"/>
      <c r="AJ577" s="77"/>
      <c r="AK577" s="77"/>
      <c r="AL577" s="77"/>
      <c r="AM577" s="77"/>
      <c r="AN577" s="77"/>
      <c r="AO577" s="77"/>
      <c r="AP577" s="77"/>
      <c r="AQ577" s="77"/>
      <c r="AR577" s="77"/>
      <c r="AS577" s="77"/>
      <c r="AT577" s="77"/>
      <c r="AU577" s="77"/>
      <c r="AV577" s="80" t="str">
        <f>HYPERLINK("https://pbs.twimg.com/profile_images/1664024456262549505/LEYLe1s-_normal.jpg")</f>
        <v>https://pbs.twimg.com/profile_images/1664024456262549505/LEYLe1s-_normal.jpg</v>
      </c>
      <c r="AW577" s="82" t="s">
        <v>4910</v>
      </c>
      <c r="AX577" s="82" t="s">
        <v>4910</v>
      </c>
      <c r="AY577" s="77"/>
      <c r="AZ577" s="82" t="s">
        <v>5615</v>
      </c>
      <c r="BA577" s="82" t="s">
        <v>5615</v>
      </c>
      <c r="BB577" s="82" t="s">
        <v>5615</v>
      </c>
      <c r="BC577" s="82" t="s">
        <v>4910</v>
      </c>
      <c r="BD577" s="82" t="s">
        <v>5601</v>
      </c>
      <c r="BE577" s="77"/>
      <c r="BF577" s="77"/>
      <c r="BG577" s="77"/>
      <c r="BH577" s="77"/>
      <c r="BI577" s="77"/>
    </row>
    <row r="578" spans="1:61" x14ac:dyDescent="0.25">
      <c r="A578" s="62" t="s">
        <v>458</v>
      </c>
      <c r="B578" s="62" t="s">
        <v>458</v>
      </c>
      <c r="C578" s="63"/>
      <c r="D578" s="64"/>
      <c r="E578" s="65"/>
      <c r="F578" s="66"/>
      <c r="G578" s="63"/>
      <c r="H578" s="67"/>
      <c r="I578" s="68"/>
      <c r="J578" s="68"/>
      <c r="K578" s="32"/>
      <c r="L578" s="75">
        <v>578</v>
      </c>
      <c r="M578" s="75"/>
      <c r="N578" s="70"/>
      <c r="O578" s="77" t="s">
        <v>583</v>
      </c>
      <c r="P578" s="79">
        <v>44986.583368055559</v>
      </c>
      <c r="Q578" s="77" t="s">
        <v>1128</v>
      </c>
      <c r="R578" s="77">
        <v>0</v>
      </c>
      <c r="S578" s="77">
        <v>0</v>
      </c>
      <c r="T578" s="77">
        <v>1</v>
      </c>
      <c r="U578" s="77">
        <v>0</v>
      </c>
      <c r="V578" s="77">
        <v>7</v>
      </c>
      <c r="W578" s="82" t="s">
        <v>1563</v>
      </c>
      <c r="X578" s="77"/>
      <c r="Y578" s="77"/>
      <c r="Z578" s="77"/>
      <c r="AA578" s="77"/>
      <c r="AB578" s="77"/>
      <c r="AC578" s="82" t="s">
        <v>2742</v>
      </c>
      <c r="AD578" s="77" t="s">
        <v>2752</v>
      </c>
      <c r="AE578" s="80" t="str">
        <f>HYPERLINK("https://twitter.com/almepoupa/status/1630930903039086592")</f>
        <v>https://twitter.com/almepoupa/status/1630930903039086592</v>
      </c>
      <c r="AF578" s="79">
        <v>44986.583368055559</v>
      </c>
      <c r="AG578" s="85">
        <v>44986</v>
      </c>
      <c r="AH578" s="82" t="s">
        <v>3328</v>
      </c>
      <c r="AI578" s="77"/>
      <c r="AJ578" s="77"/>
      <c r="AK578" s="77"/>
      <c r="AL578" s="77"/>
      <c r="AM578" s="77"/>
      <c r="AN578" s="77"/>
      <c r="AO578" s="77"/>
      <c r="AP578" s="77"/>
      <c r="AQ578" s="77"/>
      <c r="AR578" s="77"/>
      <c r="AS578" s="77"/>
      <c r="AT578" s="77"/>
      <c r="AU578" s="77"/>
      <c r="AV578" s="80" t="str">
        <f>HYPERLINK("https://pbs.twimg.com/profile_images/1664024456262549505/LEYLe1s-_normal.jpg")</f>
        <v>https://pbs.twimg.com/profile_images/1664024456262549505/LEYLe1s-_normal.jpg</v>
      </c>
      <c r="AW578" s="82" t="s">
        <v>4911</v>
      </c>
      <c r="AX578" s="82" t="s">
        <v>5390</v>
      </c>
      <c r="AY578" s="82" t="s">
        <v>5601</v>
      </c>
      <c r="AZ578" s="82" t="s">
        <v>5673</v>
      </c>
      <c r="BA578" s="82" t="s">
        <v>5615</v>
      </c>
      <c r="BB578" s="82" t="s">
        <v>5615</v>
      </c>
      <c r="BC578" s="82" t="s">
        <v>5673</v>
      </c>
      <c r="BD578" s="82" t="s">
        <v>5601</v>
      </c>
      <c r="BE578" s="77"/>
      <c r="BF578" s="77"/>
      <c r="BG578" s="77"/>
      <c r="BH578" s="77"/>
      <c r="BI578" s="77"/>
    </row>
    <row r="579" spans="1:61" x14ac:dyDescent="0.25">
      <c r="A579" s="62" t="s">
        <v>459</v>
      </c>
      <c r="B579" s="62" t="s">
        <v>459</v>
      </c>
      <c r="C579" s="63"/>
      <c r="D579" s="64"/>
      <c r="E579" s="65"/>
      <c r="F579" s="66"/>
      <c r="G579" s="63"/>
      <c r="H579" s="67"/>
      <c r="I579" s="68"/>
      <c r="J579" s="68"/>
      <c r="K579" s="32"/>
      <c r="L579" s="75">
        <v>579</v>
      </c>
      <c r="M579" s="75"/>
      <c r="N579" s="70"/>
      <c r="O579" s="77" t="s">
        <v>179</v>
      </c>
      <c r="P579" s="79">
        <v>45173.133009259262</v>
      </c>
      <c r="Q579" s="77" t="s">
        <v>1129</v>
      </c>
      <c r="R579" s="77">
        <v>0</v>
      </c>
      <c r="S579" s="77">
        <v>0</v>
      </c>
      <c r="T579" s="77">
        <v>0</v>
      </c>
      <c r="U579" s="77">
        <v>0</v>
      </c>
      <c r="V579" s="77">
        <v>20</v>
      </c>
      <c r="W579" s="82" t="s">
        <v>1919</v>
      </c>
      <c r="X579" s="77"/>
      <c r="Y579" s="77"/>
      <c r="Z579" s="77"/>
      <c r="AA579" s="77" t="s">
        <v>2553</v>
      </c>
      <c r="AB579" s="77" t="s">
        <v>2714</v>
      </c>
      <c r="AC579" s="82" t="s">
        <v>2719</v>
      </c>
      <c r="AD579" s="77" t="s">
        <v>2752</v>
      </c>
      <c r="AE579" s="80" t="str">
        <f>HYPERLINK("https://twitter.com/murilo_business/status/1698534230735610239")</f>
        <v>https://twitter.com/murilo_business/status/1698534230735610239</v>
      </c>
      <c r="AF579" s="79">
        <v>45173.133009259262</v>
      </c>
      <c r="AG579" s="85">
        <v>45173</v>
      </c>
      <c r="AH579" s="82" t="s">
        <v>3329</v>
      </c>
      <c r="AI579" s="77" t="b">
        <v>0</v>
      </c>
      <c r="AJ579" s="77"/>
      <c r="AK579" s="77"/>
      <c r="AL579" s="77"/>
      <c r="AM579" s="77"/>
      <c r="AN579" s="77"/>
      <c r="AO579" s="77"/>
      <c r="AP579" s="77"/>
      <c r="AQ579" s="77" t="s">
        <v>4179</v>
      </c>
      <c r="AR579" s="77"/>
      <c r="AS579" s="77"/>
      <c r="AT579" s="77"/>
      <c r="AU579" s="77"/>
      <c r="AV579" s="80" t="str">
        <f>HYPERLINK("https://pbs.twimg.com/media/F5Jn4b_WQAArhDo.jpg")</f>
        <v>https://pbs.twimg.com/media/F5Jn4b_WQAArhDo.jpg</v>
      </c>
      <c r="AW579" s="82" t="s">
        <v>4912</v>
      </c>
      <c r="AX579" s="82" t="s">
        <v>4912</v>
      </c>
      <c r="AY579" s="77"/>
      <c r="AZ579" s="82" t="s">
        <v>5615</v>
      </c>
      <c r="BA579" s="82" t="s">
        <v>5615</v>
      </c>
      <c r="BB579" s="82" t="s">
        <v>5615</v>
      </c>
      <c r="BC579" s="82" t="s">
        <v>4912</v>
      </c>
      <c r="BD579" s="82" t="s">
        <v>6023</v>
      </c>
      <c r="BE579" s="77"/>
      <c r="BF579" s="77"/>
      <c r="BG579" s="77"/>
      <c r="BH579" s="77"/>
      <c r="BI579" s="77"/>
    </row>
    <row r="580" spans="1:61" x14ac:dyDescent="0.25">
      <c r="A580" s="62" t="s">
        <v>460</v>
      </c>
      <c r="B580" s="62" t="s">
        <v>460</v>
      </c>
      <c r="C580" s="63"/>
      <c r="D580" s="64"/>
      <c r="E580" s="65"/>
      <c r="F580" s="66"/>
      <c r="G580" s="63"/>
      <c r="H580" s="67"/>
      <c r="I580" s="68"/>
      <c r="J580" s="68"/>
      <c r="K580" s="32"/>
      <c r="L580" s="75">
        <v>580</v>
      </c>
      <c r="M580" s="75"/>
      <c r="N580" s="70"/>
      <c r="O580" s="77" t="s">
        <v>583</v>
      </c>
      <c r="P580" s="79">
        <v>45156.818784722222</v>
      </c>
      <c r="Q580" s="77" t="s">
        <v>1130</v>
      </c>
      <c r="R580" s="77">
        <v>0</v>
      </c>
      <c r="S580" s="77">
        <v>0</v>
      </c>
      <c r="T580" s="77">
        <v>0</v>
      </c>
      <c r="U580" s="77">
        <v>0</v>
      </c>
      <c r="V580" s="77">
        <v>28</v>
      </c>
      <c r="W580" s="82" t="s">
        <v>1920</v>
      </c>
      <c r="X580" s="77"/>
      <c r="Y580" s="77"/>
      <c r="Z580" s="77"/>
      <c r="AA580" s="77"/>
      <c r="AB580" s="77"/>
      <c r="AC580" s="82" t="s">
        <v>2720</v>
      </c>
      <c r="AD580" s="77" t="s">
        <v>2752</v>
      </c>
      <c r="AE580" s="80" t="str">
        <f>HYPERLINK("https://twitter.com/pense_rico/status/1692622155471528080")</f>
        <v>https://twitter.com/pense_rico/status/1692622155471528080</v>
      </c>
      <c r="AF580" s="79">
        <v>45156.818784722222</v>
      </c>
      <c r="AG580" s="85">
        <v>45156</v>
      </c>
      <c r="AH580" s="82" t="s">
        <v>3330</v>
      </c>
      <c r="AI580" s="77"/>
      <c r="AJ580" s="77"/>
      <c r="AK580" s="77"/>
      <c r="AL580" s="77"/>
      <c r="AM580" s="77"/>
      <c r="AN580" s="77"/>
      <c r="AO580" s="77"/>
      <c r="AP580" s="77"/>
      <c r="AQ580" s="77"/>
      <c r="AR580" s="77"/>
      <c r="AS580" s="77"/>
      <c r="AT580" s="77"/>
      <c r="AU580" s="77"/>
      <c r="AV580" s="80" t="str">
        <f>HYPERLINK("https://pbs.twimg.com/profile_images/1663983306101145616/8YmbU-t7_normal.jpg")</f>
        <v>https://pbs.twimg.com/profile_images/1663983306101145616/8YmbU-t7_normal.jpg</v>
      </c>
      <c r="AW580" s="82" t="s">
        <v>4913</v>
      </c>
      <c r="AX580" s="82" t="s">
        <v>5391</v>
      </c>
      <c r="AY580" s="82" t="s">
        <v>5602</v>
      </c>
      <c r="AZ580" s="82" t="s">
        <v>5391</v>
      </c>
      <c r="BA580" s="82" t="s">
        <v>5615</v>
      </c>
      <c r="BB580" s="82" t="s">
        <v>5615</v>
      </c>
      <c r="BC580" s="82" t="s">
        <v>5391</v>
      </c>
      <c r="BD580" s="82" t="s">
        <v>5602</v>
      </c>
      <c r="BE580" s="77"/>
      <c r="BF580" s="77"/>
      <c r="BG580" s="77"/>
      <c r="BH580" s="77"/>
      <c r="BI580" s="77"/>
    </row>
    <row r="581" spans="1:61" x14ac:dyDescent="0.25">
      <c r="A581" s="62" t="s">
        <v>461</v>
      </c>
      <c r="B581" s="62" t="s">
        <v>461</v>
      </c>
      <c r="C581" s="63"/>
      <c r="D581" s="64"/>
      <c r="E581" s="65"/>
      <c r="F581" s="66"/>
      <c r="G581" s="63"/>
      <c r="H581" s="67"/>
      <c r="I581" s="68"/>
      <c r="J581" s="68"/>
      <c r="K581" s="32"/>
      <c r="L581" s="75">
        <v>581</v>
      </c>
      <c r="M581" s="75"/>
      <c r="N581" s="70"/>
      <c r="O581" s="77" t="s">
        <v>179</v>
      </c>
      <c r="P581" s="79">
        <v>45016.758784722224</v>
      </c>
      <c r="Q581" s="77" t="s">
        <v>1131</v>
      </c>
      <c r="R581" s="77">
        <v>0</v>
      </c>
      <c r="S581" s="77">
        <v>0</v>
      </c>
      <c r="T581" s="77">
        <v>0</v>
      </c>
      <c r="U581" s="77">
        <v>0</v>
      </c>
      <c r="V581" s="77">
        <v>13</v>
      </c>
      <c r="W581" s="82" t="s">
        <v>1921</v>
      </c>
      <c r="X581" s="77"/>
      <c r="Y581" s="77"/>
      <c r="Z581" s="77"/>
      <c r="AA581" s="77"/>
      <c r="AB581" s="77"/>
      <c r="AC581" s="82" t="s">
        <v>2719</v>
      </c>
      <c r="AD581" s="77" t="s">
        <v>2752</v>
      </c>
      <c r="AE581" s="80" t="str">
        <f>HYPERLINK("https://twitter.com/milionaria_br/status/1641866109107175426")</f>
        <v>https://twitter.com/milionaria_br/status/1641866109107175426</v>
      </c>
      <c r="AF581" s="79">
        <v>45016.758784722224</v>
      </c>
      <c r="AG581" s="85">
        <v>45016</v>
      </c>
      <c r="AH581" s="82" t="s">
        <v>3331</v>
      </c>
      <c r="AI581" s="77"/>
      <c r="AJ581" s="77"/>
      <c r="AK581" s="77"/>
      <c r="AL581" s="77"/>
      <c r="AM581" s="77"/>
      <c r="AN581" s="77"/>
      <c r="AO581" s="77"/>
      <c r="AP581" s="77"/>
      <c r="AQ581" s="77"/>
      <c r="AR581" s="77"/>
      <c r="AS581" s="77"/>
      <c r="AT581" s="77"/>
      <c r="AU581" s="77"/>
      <c r="AV581" s="80" t="str">
        <f>HYPERLINK("https://pbs.twimg.com/profile_images/1641815269000527876/l4Z8Njig_normal.jpg")</f>
        <v>https://pbs.twimg.com/profile_images/1641815269000527876/l4Z8Njig_normal.jpg</v>
      </c>
      <c r="AW581" s="82" t="s">
        <v>4914</v>
      </c>
      <c r="AX581" s="82" t="s">
        <v>4914</v>
      </c>
      <c r="AY581" s="77"/>
      <c r="AZ581" s="82" t="s">
        <v>5615</v>
      </c>
      <c r="BA581" s="82" t="s">
        <v>5615</v>
      </c>
      <c r="BB581" s="82" t="s">
        <v>5615</v>
      </c>
      <c r="BC581" s="82" t="s">
        <v>4914</v>
      </c>
      <c r="BD581" s="82" t="s">
        <v>6024</v>
      </c>
      <c r="BE581" s="77"/>
      <c r="BF581" s="77"/>
      <c r="BG581" s="77"/>
      <c r="BH581" s="77"/>
      <c r="BI581" s="77"/>
    </row>
    <row r="582" spans="1:61" x14ac:dyDescent="0.25">
      <c r="A582" s="62" t="s">
        <v>462</v>
      </c>
      <c r="B582" s="62" t="s">
        <v>462</v>
      </c>
      <c r="C582" s="63"/>
      <c r="D582" s="64"/>
      <c r="E582" s="65"/>
      <c r="F582" s="66"/>
      <c r="G582" s="63"/>
      <c r="H582" s="67"/>
      <c r="I582" s="68"/>
      <c r="J582" s="68"/>
      <c r="K582" s="32"/>
      <c r="L582" s="75">
        <v>582</v>
      </c>
      <c r="M582" s="75"/>
      <c r="N582" s="70"/>
      <c r="O582" s="77" t="s">
        <v>179</v>
      </c>
      <c r="P582" s="79">
        <v>44978.260787037034</v>
      </c>
      <c r="Q582" s="77" t="s">
        <v>1132</v>
      </c>
      <c r="R582" s="77">
        <v>0</v>
      </c>
      <c r="S582" s="77">
        <v>0</v>
      </c>
      <c r="T582" s="77">
        <v>0</v>
      </c>
      <c r="U582" s="77">
        <v>0</v>
      </c>
      <c r="V582" s="77">
        <v>41</v>
      </c>
      <c r="W582" s="82" t="s">
        <v>1922</v>
      </c>
      <c r="X582" s="80" t="str">
        <f>HYPERLINK("https://a.co/d/69tQHuH")</f>
        <v>https://a.co/d/69tQHuH</v>
      </c>
      <c r="Y582" s="77" t="s">
        <v>2165</v>
      </c>
      <c r="Z582" s="77"/>
      <c r="AA582" s="77" t="s">
        <v>2554</v>
      </c>
      <c r="AB582" s="77" t="s">
        <v>2714</v>
      </c>
      <c r="AC582" s="82" t="s">
        <v>2722</v>
      </c>
      <c r="AD582" s="77" t="s">
        <v>2752</v>
      </c>
      <c r="AE582" s="80" t="str">
        <f>HYPERLINK("https://twitter.com/shopforyo_u/status/1627914900126289921")</f>
        <v>https://twitter.com/shopforyo_u/status/1627914900126289921</v>
      </c>
      <c r="AF582" s="79">
        <v>44978.260787037034</v>
      </c>
      <c r="AG582" s="85">
        <v>44978</v>
      </c>
      <c r="AH582" s="82" t="s">
        <v>3332</v>
      </c>
      <c r="AI582" s="77" t="b">
        <v>0</v>
      </c>
      <c r="AJ582" s="77"/>
      <c r="AK582" s="77"/>
      <c r="AL582" s="77"/>
      <c r="AM582" s="77"/>
      <c r="AN582" s="77"/>
      <c r="AO582" s="77"/>
      <c r="AP582" s="77"/>
      <c r="AQ582" s="77" t="s">
        <v>4180</v>
      </c>
      <c r="AR582" s="77"/>
      <c r="AS582" s="77"/>
      <c r="AT582" s="77"/>
      <c r="AU582" s="77"/>
      <c r="AV582" s="80" t="str">
        <f>HYPERLINK("https://pbs.twimg.com/media/FpeDe68XgAA8NN5.jpg")</f>
        <v>https://pbs.twimg.com/media/FpeDe68XgAA8NN5.jpg</v>
      </c>
      <c r="AW582" s="82" t="s">
        <v>4915</v>
      </c>
      <c r="AX582" s="82" t="s">
        <v>4915</v>
      </c>
      <c r="AY582" s="77"/>
      <c r="AZ582" s="82" t="s">
        <v>5615</v>
      </c>
      <c r="BA582" s="82" t="s">
        <v>5615</v>
      </c>
      <c r="BB582" s="82" t="s">
        <v>5615</v>
      </c>
      <c r="BC582" s="82" t="s">
        <v>4915</v>
      </c>
      <c r="BD582" s="82" t="s">
        <v>6025</v>
      </c>
      <c r="BE582" s="77"/>
      <c r="BF582" s="77"/>
      <c r="BG582" s="77"/>
      <c r="BH582" s="77"/>
      <c r="BI582" s="77"/>
    </row>
    <row r="583" spans="1:61" x14ac:dyDescent="0.25">
      <c r="A583" s="62" t="s">
        <v>463</v>
      </c>
      <c r="B583" s="62" t="s">
        <v>463</v>
      </c>
      <c r="C583" s="63"/>
      <c r="D583" s="64"/>
      <c r="E583" s="65"/>
      <c r="F583" s="66"/>
      <c r="G583" s="63"/>
      <c r="H583" s="67"/>
      <c r="I583" s="68"/>
      <c r="J583" s="68"/>
      <c r="K583" s="32"/>
      <c r="L583" s="75">
        <v>583</v>
      </c>
      <c r="M583" s="75"/>
      <c r="N583" s="70"/>
      <c r="O583" s="77" t="s">
        <v>583</v>
      </c>
      <c r="P583" s="79">
        <v>45104.786215277774</v>
      </c>
      <c r="Q583" s="77" t="s">
        <v>1133</v>
      </c>
      <c r="R583" s="77">
        <v>0</v>
      </c>
      <c r="S583" s="77">
        <v>0</v>
      </c>
      <c r="T583" s="77">
        <v>0</v>
      </c>
      <c r="U583" s="77">
        <v>0</v>
      </c>
      <c r="V583" s="77">
        <v>12</v>
      </c>
      <c r="W583" s="82" t="s">
        <v>1923</v>
      </c>
      <c r="X583" s="77"/>
      <c r="Y583" s="77"/>
      <c r="Z583" s="77"/>
      <c r="AA583" s="77"/>
      <c r="AB583" s="77"/>
      <c r="AC583" s="82" t="s">
        <v>2722</v>
      </c>
      <c r="AD583" s="77" t="s">
        <v>2756</v>
      </c>
      <c r="AE583" s="80" t="str">
        <f>HYPERLINK("https://twitter.com/jvaspawn/status/1673766181285535776")</f>
        <v>https://twitter.com/jvaspawn/status/1673766181285535776</v>
      </c>
      <c r="AF583" s="79">
        <v>45104.786215277774</v>
      </c>
      <c r="AG583" s="85">
        <v>45104</v>
      </c>
      <c r="AH583" s="82" t="s">
        <v>3333</v>
      </c>
      <c r="AI583" s="77"/>
      <c r="AJ583" s="77"/>
      <c r="AK583" s="77"/>
      <c r="AL583" s="77"/>
      <c r="AM583" s="77"/>
      <c r="AN583" s="77"/>
      <c r="AO583" s="77"/>
      <c r="AP583" s="77"/>
      <c r="AQ583" s="77"/>
      <c r="AR583" s="77"/>
      <c r="AS583" s="77"/>
      <c r="AT583" s="77"/>
      <c r="AU583" s="77"/>
      <c r="AV583" s="80" t="str">
        <f>HYPERLINK("https://pbs.twimg.com/profile_images/290160174/spawn-2_normal.jpg")</f>
        <v>https://pbs.twimg.com/profile_images/290160174/spawn-2_normal.jpg</v>
      </c>
      <c r="AW583" s="82" t="s">
        <v>4916</v>
      </c>
      <c r="AX583" s="82" t="s">
        <v>5392</v>
      </c>
      <c r="AY583" s="82" t="s">
        <v>5603</v>
      </c>
      <c r="AZ583" s="82" t="s">
        <v>5392</v>
      </c>
      <c r="BA583" s="82" t="s">
        <v>5615</v>
      </c>
      <c r="BB583" s="82" t="s">
        <v>5615</v>
      </c>
      <c r="BC583" s="82" t="s">
        <v>5392</v>
      </c>
      <c r="BD583" s="77">
        <v>52370747</v>
      </c>
      <c r="BE583" s="77"/>
      <c r="BF583" s="77"/>
      <c r="BG583" s="77"/>
      <c r="BH583" s="77"/>
      <c r="BI583" s="77"/>
    </row>
    <row r="584" spans="1:61" x14ac:dyDescent="0.25">
      <c r="A584" s="62" t="s">
        <v>464</v>
      </c>
      <c r="B584" s="62" t="s">
        <v>464</v>
      </c>
      <c r="C584" s="63"/>
      <c r="D584" s="64"/>
      <c r="E584" s="65"/>
      <c r="F584" s="66"/>
      <c r="G584" s="63"/>
      <c r="H584" s="67"/>
      <c r="I584" s="68"/>
      <c r="J584" s="68"/>
      <c r="K584" s="32"/>
      <c r="L584" s="75">
        <v>584</v>
      </c>
      <c r="M584" s="75"/>
      <c r="N584" s="70"/>
      <c r="O584" s="77" t="s">
        <v>179</v>
      </c>
      <c r="P584" s="79">
        <v>45033.025879629633</v>
      </c>
      <c r="Q584" s="77" t="s">
        <v>1134</v>
      </c>
      <c r="R584" s="77">
        <v>0</v>
      </c>
      <c r="S584" s="77">
        <v>0</v>
      </c>
      <c r="T584" s="77">
        <v>0</v>
      </c>
      <c r="U584" s="77">
        <v>0</v>
      </c>
      <c r="V584" s="77">
        <v>39</v>
      </c>
      <c r="W584" s="82" t="s">
        <v>1924</v>
      </c>
      <c r="X584" s="77"/>
      <c r="Y584" s="77"/>
      <c r="Z584" s="77"/>
      <c r="AA584" s="77" t="s">
        <v>2555</v>
      </c>
      <c r="AB584" s="77" t="s">
        <v>2713</v>
      </c>
      <c r="AC584" s="82" t="s">
        <v>2719</v>
      </c>
      <c r="AD584" s="77" t="s">
        <v>2752</v>
      </c>
      <c r="AE584" s="80" t="str">
        <f>HYPERLINK("https://twitter.com/rauf_rafael/status/1647761108822794240")</f>
        <v>https://twitter.com/rauf_rafael/status/1647761108822794240</v>
      </c>
      <c r="AF584" s="79">
        <v>45033.025879629633</v>
      </c>
      <c r="AG584" s="85">
        <v>45033</v>
      </c>
      <c r="AH584" s="82" t="s">
        <v>3334</v>
      </c>
      <c r="AI584" s="77" t="b">
        <v>0</v>
      </c>
      <c r="AJ584" s="77"/>
      <c r="AK584" s="77"/>
      <c r="AL584" s="77"/>
      <c r="AM584" s="77"/>
      <c r="AN584" s="77"/>
      <c r="AO584" s="77"/>
      <c r="AP584" s="77"/>
      <c r="AQ584" s="77" t="s">
        <v>4181</v>
      </c>
      <c r="AR584" s="77">
        <v>9100</v>
      </c>
      <c r="AS584" s="77"/>
      <c r="AT584" s="77"/>
      <c r="AU584" s="77"/>
      <c r="AV584" s="80" t="str">
        <f>HYPERLINK("https://pbs.twimg.com/ext_tw_video_thumb/1647761053034348545/pu/img/0ROyZZlS-lX81urF.jpg")</f>
        <v>https://pbs.twimg.com/ext_tw_video_thumb/1647761053034348545/pu/img/0ROyZZlS-lX81urF.jpg</v>
      </c>
      <c r="AW584" s="82" t="s">
        <v>4917</v>
      </c>
      <c r="AX584" s="82" t="s">
        <v>4917</v>
      </c>
      <c r="AY584" s="77"/>
      <c r="AZ584" s="82" t="s">
        <v>5615</v>
      </c>
      <c r="BA584" s="82" t="s">
        <v>5615</v>
      </c>
      <c r="BB584" s="82" t="s">
        <v>5615</v>
      </c>
      <c r="BC584" s="82" t="s">
        <v>4917</v>
      </c>
      <c r="BD584" s="82" t="s">
        <v>6026</v>
      </c>
      <c r="BE584" s="77"/>
      <c r="BF584" s="77"/>
      <c r="BG584" s="77"/>
      <c r="BH584" s="77"/>
      <c r="BI584" s="77"/>
    </row>
    <row r="585" spans="1:61" x14ac:dyDescent="0.25">
      <c r="A585" s="62" t="s">
        <v>465</v>
      </c>
      <c r="B585" s="62" t="s">
        <v>465</v>
      </c>
      <c r="C585" s="63"/>
      <c r="D585" s="64"/>
      <c r="E585" s="65"/>
      <c r="F585" s="66"/>
      <c r="G585" s="63"/>
      <c r="H585" s="67"/>
      <c r="I585" s="68"/>
      <c r="J585" s="68"/>
      <c r="K585" s="32"/>
      <c r="L585" s="75">
        <v>585</v>
      </c>
      <c r="M585" s="75"/>
      <c r="N585" s="70"/>
      <c r="O585" s="77" t="s">
        <v>179</v>
      </c>
      <c r="P585" s="79">
        <v>44935.670254629629</v>
      </c>
      <c r="Q585" s="77" t="s">
        <v>1135</v>
      </c>
      <c r="R585" s="77">
        <v>0</v>
      </c>
      <c r="S585" s="77">
        <v>0</v>
      </c>
      <c r="T585" s="77">
        <v>0</v>
      </c>
      <c r="U585" s="77">
        <v>0</v>
      </c>
      <c r="V585" s="77">
        <v>58</v>
      </c>
      <c r="W585" s="82" t="s">
        <v>1925</v>
      </c>
      <c r="X585" s="77"/>
      <c r="Y585" s="77"/>
      <c r="Z585" s="77"/>
      <c r="AA585" s="77" t="s">
        <v>2556</v>
      </c>
      <c r="AB585" s="77" t="s">
        <v>2713</v>
      </c>
      <c r="AC585" s="82" t="s">
        <v>2719</v>
      </c>
      <c r="AD585" s="77" t="s">
        <v>2753</v>
      </c>
      <c r="AE585" s="80" t="str">
        <f>HYPERLINK("https://twitter.com/abelsil83615535/status/1612480609204551681")</f>
        <v>https://twitter.com/abelsil83615535/status/1612480609204551681</v>
      </c>
      <c r="AF585" s="79">
        <v>44935.670254629629</v>
      </c>
      <c r="AG585" s="85">
        <v>44935</v>
      </c>
      <c r="AH585" s="82" t="s">
        <v>3335</v>
      </c>
      <c r="AI585" s="77" t="b">
        <v>0</v>
      </c>
      <c r="AJ585" s="77"/>
      <c r="AK585" s="77"/>
      <c r="AL585" s="77"/>
      <c r="AM585" s="77"/>
      <c r="AN585" s="77"/>
      <c r="AO585" s="77"/>
      <c r="AP585" s="77"/>
      <c r="AQ585" s="77" t="s">
        <v>4182</v>
      </c>
      <c r="AR585" s="77">
        <v>8300</v>
      </c>
      <c r="AS585" s="77"/>
      <c r="AT585" s="77"/>
      <c r="AU585" s="77"/>
      <c r="AV585" s="80" t="str">
        <f>HYPERLINK("https://pbs.twimg.com/ext_tw_video_thumb/1612480570025545730/pu/img/g83Ok-xYixk77SDz.jpg")</f>
        <v>https://pbs.twimg.com/ext_tw_video_thumb/1612480570025545730/pu/img/g83Ok-xYixk77SDz.jpg</v>
      </c>
      <c r="AW585" s="82" t="s">
        <v>4918</v>
      </c>
      <c r="AX585" s="82" t="s">
        <v>4918</v>
      </c>
      <c r="AY585" s="77"/>
      <c r="AZ585" s="82" t="s">
        <v>5615</v>
      </c>
      <c r="BA585" s="82" t="s">
        <v>5615</v>
      </c>
      <c r="BB585" s="82" t="s">
        <v>5615</v>
      </c>
      <c r="BC585" s="82" t="s">
        <v>4918</v>
      </c>
      <c r="BD585" s="82" t="s">
        <v>6027</v>
      </c>
      <c r="BE585" s="77"/>
      <c r="BF585" s="77"/>
      <c r="BG585" s="77"/>
      <c r="BH585" s="77"/>
      <c r="BI585" s="77"/>
    </row>
    <row r="586" spans="1:61" x14ac:dyDescent="0.25">
      <c r="A586" s="62" t="s">
        <v>466</v>
      </c>
      <c r="B586" s="62" t="s">
        <v>466</v>
      </c>
      <c r="C586" s="63"/>
      <c r="D586" s="64"/>
      <c r="E586" s="65"/>
      <c r="F586" s="66"/>
      <c r="G586" s="63"/>
      <c r="H586" s="67"/>
      <c r="I586" s="68"/>
      <c r="J586" s="68"/>
      <c r="K586" s="32"/>
      <c r="L586" s="75">
        <v>586</v>
      </c>
      <c r="M586" s="75"/>
      <c r="N586" s="70"/>
      <c r="O586" s="77" t="s">
        <v>583</v>
      </c>
      <c r="P586" s="79">
        <v>45100.936307870368</v>
      </c>
      <c r="Q586" s="77" t="s">
        <v>1136</v>
      </c>
      <c r="R586" s="77">
        <v>0</v>
      </c>
      <c r="S586" s="77">
        <v>1</v>
      </c>
      <c r="T586" s="77">
        <v>0</v>
      </c>
      <c r="U586" s="77">
        <v>0</v>
      </c>
      <c r="V586" s="77">
        <v>88</v>
      </c>
      <c r="W586" s="82" t="s">
        <v>1926</v>
      </c>
      <c r="X586" s="77"/>
      <c r="Y586" s="77"/>
      <c r="Z586" s="77"/>
      <c r="AA586" s="77" t="s">
        <v>2557</v>
      </c>
      <c r="AB586" s="77" t="s">
        <v>2714</v>
      </c>
      <c r="AC586" s="82" t="s">
        <v>2719</v>
      </c>
      <c r="AD586" s="77" t="s">
        <v>2752</v>
      </c>
      <c r="AE586" s="80" t="str">
        <f>HYPERLINK("https://twitter.com/doloresampaio/status/1672371023558201344")</f>
        <v>https://twitter.com/doloresampaio/status/1672371023558201344</v>
      </c>
      <c r="AF586" s="79">
        <v>45100.936307870368</v>
      </c>
      <c r="AG586" s="85">
        <v>45100</v>
      </c>
      <c r="AH586" s="82" t="s">
        <v>3336</v>
      </c>
      <c r="AI586" s="77" t="b">
        <v>0</v>
      </c>
      <c r="AJ586" s="77"/>
      <c r="AK586" s="77"/>
      <c r="AL586" s="77"/>
      <c r="AM586" s="77"/>
      <c r="AN586" s="77"/>
      <c r="AO586" s="77"/>
      <c r="AP586" s="77"/>
      <c r="AQ586" s="77" t="s">
        <v>4183</v>
      </c>
      <c r="AR586" s="77"/>
      <c r="AS586" s="77"/>
      <c r="AT586" s="77"/>
      <c r="AU586" s="77"/>
      <c r="AV586" s="80" t="str">
        <f>HYPERLINK("https://pbs.twimg.com/media/FzV0lRoX0AIY7BT.jpg")</f>
        <v>https://pbs.twimg.com/media/FzV0lRoX0AIY7BT.jpg</v>
      </c>
      <c r="AW586" s="82" t="s">
        <v>4919</v>
      </c>
      <c r="AX586" s="82" t="s">
        <v>5393</v>
      </c>
      <c r="AY586" s="82" t="s">
        <v>5604</v>
      </c>
      <c r="AZ586" s="82" t="s">
        <v>5393</v>
      </c>
      <c r="BA586" s="82" t="s">
        <v>5615</v>
      </c>
      <c r="BB586" s="82" t="s">
        <v>5615</v>
      </c>
      <c r="BC586" s="82" t="s">
        <v>5393</v>
      </c>
      <c r="BD586" s="77">
        <v>2431264463</v>
      </c>
      <c r="BE586" s="77"/>
      <c r="BF586" s="77"/>
      <c r="BG586" s="77"/>
      <c r="BH586" s="77"/>
      <c r="BI586" s="77"/>
    </row>
    <row r="587" spans="1:61" x14ac:dyDescent="0.25">
      <c r="A587" s="62" t="s">
        <v>467</v>
      </c>
      <c r="B587" s="62" t="s">
        <v>467</v>
      </c>
      <c r="C587" s="63"/>
      <c r="D587" s="64"/>
      <c r="E587" s="65"/>
      <c r="F587" s="66"/>
      <c r="G587" s="63"/>
      <c r="H587" s="67"/>
      <c r="I587" s="68"/>
      <c r="J587" s="68"/>
      <c r="K587" s="32"/>
      <c r="L587" s="75">
        <v>587</v>
      </c>
      <c r="M587" s="75"/>
      <c r="N587" s="70"/>
      <c r="O587" s="77" t="s">
        <v>179</v>
      </c>
      <c r="P587" s="79">
        <v>44993.571898148148</v>
      </c>
      <c r="Q587" s="77" t="s">
        <v>1137</v>
      </c>
      <c r="R587" s="77">
        <v>0</v>
      </c>
      <c r="S587" s="77">
        <v>2</v>
      </c>
      <c r="T587" s="77">
        <v>0</v>
      </c>
      <c r="U587" s="77">
        <v>0</v>
      </c>
      <c r="V587" s="77">
        <v>153</v>
      </c>
      <c r="W587" s="82" t="s">
        <v>1927</v>
      </c>
      <c r="X587" s="77"/>
      <c r="Y587" s="77"/>
      <c r="Z587" s="77"/>
      <c r="AA587" s="77" t="s">
        <v>2558</v>
      </c>
      <c r="AB587" s="77" t="s">
        <v>2714</v>
      </c>
      <c r="AC587" s="82" t="s">
        <v>2719</v>
      </c>
      <c r="AD587" s="77" t="s">
        <v>2752</v>
      </c>
      <c r="AE587" s="80" t="str">
        <f>HYPERLINK("https://twitter.com/shelby_alpha__/status/1633463464315486208")</f>
        <v>https://twitter.com/shelby_alpha__/status/1633463464315486208</v>
      </c>
      <c r="AF587" s="79">
        <v>44993.571898148148</v>
      </c>
      <c r="AG587" s="85">
        <v>44993</v>
      </c>
      <c r="AH587" s="82" t="s">
        <v>3337</v>
      </c>
      <c r="AI587" s="77" t="b">
        <v>0</v>
      </c>
      <c r="AJ587" s="77"/>
      <c r="AK587" s="77"/>
      <c r="AL587" s="77"/>
      <c r="AM587" s="77"/>
      <c r="AN587" s="77"/>
      <c r="AO587" s="77"/>
      <c r="AP587" s="77"/>
      <c r="AQ587" s="77" t="s">
        <v>4184</v>
      </c>
      <c r="AR587" s="77"/>
      <c r="AS587" s="77"/>
      <c r="AT587" s="77"/>
      <c r="AU587" s="77"/>
      <c r="AV587" s="80" t="str">
        <f>HYPERLINK("https://pbs.twimg.com/media/Fqs6XQvaAAMaCxx.jpg")</f>
        <v>https://pbs.twimg.com/media/Fqs6XQvaAAMaCxx.jpg</v>
      </c>
      <c r="AW587" s="82" t="s">
        <v>4920</v>
      </c>
      <c r="AX587" s="82" t="s">
        <v>4920</v>
      </c>
      <c r="AY587" s="77"/>
      <c r="AZ587" s="82" t="s">
        <v>5615</v>
      </c>
      <c r="BA587" s="82" t="s">
        <v>5615</v>
      </c>
      <c r="BB587" s="82" t="s">
        <v>5615</v>
      </c>
      <c r="BC587" s="82" t="s">
        <v>4920</v>
      </c>
      <c r="BD587" s="82" t="s">
        <v>6028</v>
      </c>
      <c r="BE587" s="77"/>
      <c r="BF587" s="77"/>
      <c r="BG587" s="77"/>
      <c r="BH587" s="77"/>
      <c r="BI587" s="77"/>
    </row>
    <row r="588" spans="1:61" x14ac:dyDescent="0.25">
      <c r="A588" s="62" t="s">
        <v>468</v>
      </c>
      <c r="B588" s="62" t="s">
        <v>468</v>
      </c>
      <c r="C588" s="63"/>
      <c r="D588" s="64"/>
      <c r="E588" s="65"/>
      <c r="F588" s="66"/>
      <c r="G588" s="63"/>
      <c r="H588" s="67"/>
      <c r="I588" s="68"/>
      <c r="J588" s="68"/>
      <c r="K588" s="32"/>
      <c r="L588" s="75">
        <v>588</v>
      </c>
      <c r="M588" s="75"/>
      <c r="N588" s="70"/>
      <c r="O588" s="77" t="s">
        <v>179</v>
      </c>
      <c r="P588" s="79">
        <v>45049.393194444441</v>
      </c>
      <c r="Q588" s="77" t="s">
        <v>1138</v>
      </c>
      <c r="R588" s="77">
        <v>0</v>
      </c>
      <c r="S588" s="77">
        <v>0</v>
      </c>
      <c r="T588" s="77">
        <v>0</v>
      </c>
      <c r="U588" s="77">
        <v>0</v>
      </c>
      <c r="V588" s="77">
        <v>8</v>
      </c>
      <c r="W588" s="82" t="s">
        <v>1928</v>
      </c>
      <c r="X588" s="77"/>
      <c r="Y588" s="77"/>
      <c r="Z588" s="77"/>
      <c r="AA588" s="77"/>
      <c r="AB588" s="77"/>
      <c r="AC588" s="82" t="s">
        <v>2720</v>
      </c>
      <c r="AD588" s="77" t="s">
        <v>2752</v>
      </c>
      <c r="AE588" s="80" t="str">
        <f>HYPERLINK("https://twitter.com/wcost97/status/1653692423208419329")</f>
        <v>https://twitter.com/wcost97/status/1653692423208419329</v>
      </c>
      <c r="AF588" s="79">
        <v>45049.393194444441</v>
      </c>
      <c r="AG588" s="85">
        <v>45049</v>
      </c>
      <c r="AH588" s="82" t="s">
        <v>3338</v>
      </c>
      <c r="AI588" s="77"/>
      <c r="AJ588" s="77"/>
      <c r="AK588" s="77"/>
      <c r="AL588" s="77"/>
      <c r="AM588" s="77"/>
      <c r="AN588" s="77"/>
      <c r="AO588" s="77"/>
      <c r="AP588" s="77"/>
      <c r="AQ588" s="77"/>
      <c r="AR588" s="77"/>
      <c r="AS588" s="77"/>
      <c r="AT588" s="77"/>
      <c r="AU588" s="77"/>
      <c r="AV588" s="80" t="str">
        <f>HYPERLINK("https://pbs.twimg.com/profile_images/1653548839536607232/Q6JvtZkq_normal.jpg")</f>
        <v>https://pbs.twimg.com/profile_images/1653548839536607232/Q6JvtZkq_normal.jpg</v>
      </c>
      <c r="AW588" s="82" t="s">
        <v>4921</v>
      </c>
      <c r="AX588" s="82" t="s">
        <v>4921</v>
      </c>
      <c r="AY588" s="77"/>
      <c r="AZ588" s="82" t="s">
        <v>5615</v>
      </c>
      <c r="BA588" s="82" t="s">
        <v>5615</v>
      </c>
      <c r="BB588" s="82" t="s">
        <v>5615</v>
      </c>
      <c r="BC588" s="82" t="s">
        <v>4921</v>
      </c>
      <c r="BD588" s="82" t="s">
        <v>6029</v>
      </c>
      <c r="BE588" s="77"/>
      <c r="BF588" s="77"/>
      <c r="BG588" s="77"/>
      <c r="BH588" s="77"/>
      <c r="BI588" s="77"/>
    </row>
    <row r="589" spans="1:61" x14ac:dyDescent="0.25">
      <c r="A589" s="62" t="s">
        <v>469</v>
      </c>
      <c r="B589" s="62" t="s">
        <v>469</v>
      </c>
      <c r="C589" s="63"/>
      <c r="D589" s="64"/>
      <c r="E589" s="65"/>
      <c r="F589" s="66"/>
      <c r="G589" s="63"/>
      <c r="H589" s="67"/>
      <c r="I589" s="68"/>
      <c r="J589" s="68"/>
      <c r="K589" s="32"/>
      <c r="L589" s="75">
        <v>589</v>
      </c>
      <c r="M589" s="75"/>
      <c r="N589" s="70"/>
      <c r="O589" s="77" t="s">
        <v>179</v>
      </c>
      <c r="P589" s="79">
        <v>45071.149062500001</v>
      </c>
      <c r="Q589" s="77" t="s">
        <v>1139</v>
      </c>
      <c r="R589" s="77">
        <v>0</v>
      </c>
      <c r="S589" s="77">
        <v>0</v>
      </c>
      <c r="T589" s="77">
        <v>0</v>
      </c>
      <c r="U589" s="77">
        <v>0</v>
      </c>
      <c r="V589" s="77">
        <v>23</v>
      </c>
      <c r="W589" s="82" t="s">
        <v>1929</v>
      </c>
      <c r="X589" s="77"/>
      <c r="Y589" s="77"/>
      <c r="Z589" s="77"/>
      <c r="AA589" s="77"/>
      <c r="AB589" s="77"/>
      <c r="AC589" s="82" t="s">
        <v>2720</v>
      </c>
      <c r="AD589" s="77" t="s">
        <v>2752</v>
      </c>
      <c r="AE589" s="80" t="str">
        <f>HYPERLINK("https://twitter.com/oadrielcardoso/status/1661576484518076416")</f>
        <v>https://twitter.com/oadrielcardoso/status/1661576484518076416</v>
      </c>
      <c r="AF589" s="79">
        <v>45071.149062500001</v>
      </c>
      <c r="AG589" s="85">
        <v>45071</v>
      </c>
      <c r="AH589" s="82" t="s">
        <v>3339</v>
      </c>
      <c r="AI589" s="77"/>
      <c r="AJ589" s="77"/>
      <c r="AK589" s="77"/>
      <c r="AL589" s="77"/>
      <c r="AM589" s="77"/>
      <c r="AN589" s="77"/>
      <c r="AO589" s="77"/>
      <c r="AP589" s="77"/>
      <c r="AQ589" s="77"/>
      <c r="AR589" s="77"/>
      <c r="AS589" s="77"/>
      <c r="AT589" s="77"/>
      <c r="AU589" s="77"/>
      <c r="AV589" s="80" t="str">
        <f>HYPERLINK("https://pbs.twimg.com/profile_images/1699868362833108992/9GAADvnM_normal.jpg")</f>
        <v>https://pbs.twimg.com/profile_images/1699868362833108992/9GAADvnM_normal.jpg</v>
      </c>
      <c r="AW589" s="82" t="s">
        <v>4922</v>
      </c>
      <c r="AX589" s="82" t="s">
        <v>4922</v>
      </c>
      <c r="AY589" s="77"/>
      <c r="AZ589" s="82" t="s">
        <v>5615</v>
      </c>
      <c r="BA589" s="82" t="s">
        <v>5615</v>
      </c>
      <c r="BB589" s="82" t="s">
        <v>5615</v>
      </c>
      <c r="BC589" s="82" t="s">
        <v>4922</v>
      </c>
      <c r="BD589" s="77">
        <v>2316131874</v>
      </c>
      <c r="BE589" s="77"/>
      <c r="BF589" s="77"/>
      <c r="BG589" s="77"/>
      <c r="BH589" s="77"/>
      <c r="BI589" s="77"/>
    </row>
    <row r="590" spans="1:61" x14ac:dyDescent="0.25">
      <c r="A590" s="62" t="s">
        <v>470</v>
      </c>
      <c r="B590" s="62" t="s">
        <v>470</v>
      </c>
      <c r="C590" s="63"/>
      <c r="D590" s="64"/>
      <c r="E590" s="65"/>
      <c r="F590" s="66"/>
      <c r="G590" s="63"/>
      <c r="H590" s="67"/>
      <c r="I590" s="68"/>
      <c r="J590" s="68"/>
      <c r="K590" s="32"/>
      <c r="L590" s="75">
        <v>590</v>
      </c>
      <c r="M590" s="75"/>
      <c r="N590" s="70"/>
      <c r="O590" s="77" t="s">
        <v>179</v>
      </c>
      <c r="P590" s="79">
        <v>45056.075092592589</v>
      </c>
      <c r="Q590" s="77" t="s">
        <v>1140</v>
      </c>
      <c r="R590" s="77">
        <v>0</v>
      </c>
      <c r="S590" s="77">
        <v>0</v>
      </c>
      <c r="T590" s="77">
        <v>0</v>
      </c>
      <c r="U590" s="77">
        <v>0</v>
      </c>
      <c r="V590" s="77">
        <v>7</v>
      </c>
      <c r="W590" s="82" t="s">
        <v>1930</v>
      </c>
      <c r="X590" s="80" t="str">
        <f>HYPERLINK("https://comoempreenderonline.com.br/minha-carteira-numero-um-turma-4-professor-mira/")</f>
        <v>https://comoempreenderonline.com.br/minha-carteira-numero-um-turma-4-professor-mira/</v>
      </c>
      <c r="Y590" s="77" t="s">
        <v>2129</v>
      </c>
      <c r="Z590" s="77"/>
      <c r="AA590" s="77"/>
      <c r="AB590" s="77"/>
      <c r="AC590" s="82" t="s">
        <v>2743</v>
      </c>
      <c r="AD590" s="77" t="s">
        <v>2752</v>
      </c>
      <c r="AE590" s="80" t="str">
        <f>HYPERLINK("https://twitter.com/leocarvalho_mkt/status/1656113863543144449")</f>
        <v>https://twitter.com/leocarvalho_mkt/status/1656113863543144449</v>
      </c>
      <c r="AF590" s="79">
        <v>45056.075092592589</v>
      </c>
      <c r="AG590" s="85">
        <v>45056</v>
      </c>
      <c r="AH590" s="82" t="s">
        <v>3340</v>
      </c>
      <c r="AI590" s="77" t="b">
        <v>0</v>
      </c>
      <c r="AJ590" s="77"/>
      <c r="AK590" s="77"/>
      <c r="AL590" s="77"/>
      <c r="AM590" s="77"/>
      <c r="AN590" s="77"/>
      <c r="AO590" s="77"/>
      <c r="AP590" s="77"/>
      <c r="AQ590" s="77"/>
      <c r="AR590" s="77"/>
      <c r="AS590" s="77"/>
      <c r="AT590" s="77"/>
      <c r="AU590" s="77"/>
      <c r="AV590" s="80" t="str">
        <f>HYPERLINK("https://pbs.twimg.com/profile_images/1328359603839651840/EVTST67L_normal.jpg")</f>
        <v>https://pbs.twimg.com/profile_images/1328359603839651840/EVTST67L_normal.jpg</v>
      </c>
      <c r="AW590" s="82" t="s">
        <v>4923</v>
      </c>
      <c r="AX590" s="82" t="s">
        <v>4923</v>
      </c>
      <c r="AY590" s="77"/>
      <c r="AZ590" s="82" t="s">
        <v>5615</v>
      </c>
      <c r="BA590" s="82" t="s">
        <v>5615</v>
      </c>
      <c r="BB590" s="82" t="s">
        <v>5615</v>
      </c>
      <c r="BC590" s="82" t="s">
        <v>4923</v>
      </c>
      <c r="BD590" s="82" t="s">
        <v>6030</v>
      </c>
      <c r="BE590" s="77"/>
      <c r="BF590" s="77"/>
      <c r="BG590" s="77"/>
      <c r="BH590" s="77"/>
      <c r="BI590" s="77"/>
    </row>
    <row r="591" spans="1:61" x14ac:dyDescent="0.25">
      <c r="A591" s="62" t="s">
        <v>470</v>
      </c>
      <c r="B591" s="62" t="s">
        <v>470</v>
      </c>
      <c r="C591" s="63"/>
      <c r="D591" s="64"/>
      <c r="E591" s="65"/>
      <c r="F591" s="66"/>
      <c r="G591" s="63"/>
      <c r="H591" s="67"/>
      <c r="I591" s="68"/>
      <c r="J591" s="68"/>
      <c r="K591" s="32"/>
      <c r="L591" s="75">
        <v>591</v>
      </c>
      <c r="M591" s="75"/>
      <c r="N591" s="70"/>
      <c r="O591" s="77" t="s">
        <v>179</v>
      </c>
      <c r="P591" s="79">
        <v>45089.127534722225</v>
      </c>
      <c r="Q591" s="77" t="s">
        <v>1141</v>
      </c>
      <c r="R591" s="77">
        <v>0</v>
      </c>
      <c r="S591" s="77">
        <v>0</v>
      </c>
      <c r="T591" s="77">
        <v>0</v>
      </c>
      <c r="U591" s="77">
        <v>0</v>
      </c>
      <c r="V591" s="77">
        <v>16</v>
      </c>
      <c r="W591" s="82" t="s">
        <v>1931</v>
      </c>
      <c r="X591" s="80" t="str">
        <f>HYPERLINK("https://comoempreenderonline.com.br/minha-carteira-numero-um-turma-4-professor-mira/?utm_source=twitter&amp;utm_medium=social&amp;utm_campaign=ReviveOldPost")</f>
        <v>https://comoempreenderonline.com.br/minha-carteira-numero-um-turma-4-professor-mira/?utm_source=twitter&amp;utm_medium=social&amp;utm_campaign=ReviveOldPost</v>
      </c>
      <c r="Y591" s="77" t="s">
        <v>2129</v>
      </c>
      <c r="Z591" s="77"/>
      <c r="AA591" s="77"/>
      <c r="AB591" s="77"/>
      <c r="AC591" s="82" t="s">
        <v>2743</v>
      </c>
      <c r="AD591" s="77" t="s">
        <v>2752</v>
      </c>
      <c r="AE591" s="80" t="str">
        <f>HYPERLINK("https://twitter.com/leocarvalho_mkt/status/1668091665620295680")</f>
        <v>https://twitter.com/leocarvalho_mkt/status/1668091665620295680</v>
      </c>
      <c r="AF591" s="79">
        <v>45089.127534722225</v>
      </c>
      <c r="AG591" s="85">
        <v>45089</v>
      </c>
      <c r="AH591" s="82" t="s">
        <v>3341</v>
      </c>
      <c r="AI591" s="77" t="b">
        <v>0</v>
      </c>
      <c r="AJ591" s="77"/>
      <c r="AK591" s="77"/>
      <c r="AL591" s="77"/>
      <c r="AM591" s="77"/>
      <c r="AN591" s="77"/>
      <c r="AO591" s="77"/>
      <c r="AP591" s="77"/>
      <c r="AQ591" s="77"/>
      <c r="AR591" s="77"/>
      <c r="AS591" s="77"/>
      <c r="AT591" s="77"/>
      <c r="AU591" s="77"/>
      <c r="AV591" s="80" t="str">
        <f>HYPERLINK("https://pbs.twimg.com/profile_images/1328359603839651840/EVTST67L_normal.jpg")</f>
        <v>https://pbs.twimg.com/profile_images/1328359603839651840/EVTST67L_normal.jpg</v>
      </c>
      <c r="AW591" s="82" t="s">
        <v>4924</v>
      </c>
      <c r="AX591" s="82" t="s">
        <v>4924</v>
      </c>
      <c r="AY591" s="77"/>
      <c r="AZ591" s="82" t="s">
        <v>5615</v>
      </c>
      <c r="BA591" s="82" t="s">
        <v>5615</v>
      </c>
      <c r="BB591" s="82" t="s">
        <v>5615</v>
      </c>
      <c r="BC591" s="82" t="s">
        <v>4924</v>
      </c>
      <c r="BD591" s="82" t="s">
        <v>6030</v>
      </c>
      <c r="BE591" s="77"/>
      <c r="BF591" s="77"/>
      <c r="BG591" s="77"/>
      <c r="BH591" s="77"/>
      <c r="BI591" s="77"/>
    </row>
    <row r="592" spans="1:61" x14ac:dyDescent="0.25">
      <c r="A592" s="62" t="s">
        <v>470</v>
      </c>
      <c r="B592" s="62" t="s">
        <v>470</v>
      </c>
      <c r="C592" s="63"/>
      <c r="D592" s="64"/>
      <c r="E592" s="65"/>
      <c r="F592" s="66"/>
      <c r="G592" s="63"/>
      <c r="H592" s="67"/>
      <c r="I592" s="68"/>
      <c r="J592" s="68"/>
      <c r="K592" s="32"/>
      <c r="L592" s="75">
        <v>592</v>
      </c>
      <c r="M592" s="75"/>
      <c r="N592" s="70"/>
      <c r="O592" s="77" t="s">
        <v>179</v>
      </c>
      <c r="P592" s="79">
        <v>45060.488055555557</v>
      </c>
      <c r="Q592" s="77" t="s">
        <v>1142</v>
      </c>
      <c r="R592" s="77">
        <v>0</v>
      </c>
      <c r="S592" s="77">
        <v>0</v>
      </c>
      <c r="T592" s="77">
        <v>0</v>
      </c>
      <c r="U592" s="77">
        <v>0</v>
      </c>
      <c r="V592" s="77">
        <v>9</v>
      </c>
      <c r="W592" s="82" t="s">
        <v>1932</v>
      </c>
      <c r="X592" s="80" t="str">
        <f>HYPERLINK("https://comoempreenderonline.com.br/minha-carteira-numero-um-turma-4-professor-mira/")</f>
        <v>https://comoempreenderonline.com.br/minha-carteira-numero-um-turma-4-professor-mira/</v>
      </c>
      <c r="Y592" s="77" t="s">
        <v>2129</v>
      </c>
      <c r="Z592" s="77"/>
      <c r="AA592" s="77"/>
      <c r="AB592" s="77"/>
      <c r="AC592" s="82" t="s">
        <v>2743</v>
      </c>
      <c r="AD592" s="77" t="s">
        <v>2752</v>
      </c>
      <c r="AE592" s="80" t="str">
        <f>HYPERLINK("https://twitter.com/leocarvalho_mkt/status/1657713065335353344")</f>
        <v>https://twitter.com/leocarvalho_mkt/status/1657713065335353344</v>
      </c>
      <c r="AF592" s="79">
        <v>45060.488055555557</v>
      </c>
      <c r="AG592" s="85">
        <v>45060</v>
      </c>
      <c r="AH592" s="82" t="s">
        <v>3342</v>
      </c>
      <c r="AI592" s="77" t="b">
        <v>0</v>
      </c>
      <c r="AJ592" s="77"/>
      <c r="AK592" s="77"/>
      <c r="AL592" s="77"/>
      <c r="AM592" s="77"/>
      <c r="AN592" s="77"/>
      <c r="AO592" s="77"/>
      <c r="AP592" s="77"/>
      <c r="AQ592" s="77"/>
      <c r="AR592" s="77"/>
      <c r="AS592" s="77"/>
      <c r="AT592" s="77"/>
      <c r="AU592" s="77"/>
      <c r="AV592" s="80" t="str">
        <f>HYPERLINK("https://pbs.twimg.com/profile_images/1328359603839651840/EVTST67L_normal.jpg")</f>
        <v>https://pbs.twimg.com/profile_images/1328359603839651840/EVTST67L_normal.jpg</v>
      </c>
      <c r="AW592" s="82" t="s">
        <v>4925</v>
      </c>
      <c r="AX592" s="82" t="s">
        <v>4925</v>
      </c>
      <c r="AY592" s="77"/>
      <c r="AZ592" s="82" t="s">
        <v>5615</v>
      </c>
      <c r="BA592" s="82" t="s">
        <v>5615</v>
      </c>
      <c r="BB592" s="82" t="s">
        <v>5615</v>
      </c>
      <c r="BC592" s="82" t="s">
        <v>4925</v>
      </c>
      <c r="BD592" s="82" t="s">
        <v>6030</v>
      </c>
      <c r="BE592" s="77"/>
      <c r="BF592" s="77"/>
      <c r="BG592" s="77"/>
      <c r="BH592" s="77"/>
      <c r="BI592" s="77"/>
    </row>
    <row r="593" spans="1:61" x14ac:dyDescent="0.25">
      <c r="A593" s="62" t="s">
        <v>471</v>
      </c>
      <c r="B593" s="62" t="s">
        <v>471</v>
      </c>
      <c r="C593" s="63"/>
      <c r="D593" s="64"/>
      <c r="E593" s="65"/>
      <c r="F593" s="66"/>
      <c r="G593" s="63"/>
      <c r="H593" s="67"/>
      <c r="I593" s="68"/>
      <c r="J593" s="68"/>
      <c r="K593" s="32"/>
      <c r="L593" s="75">
        <v>593</v>
      </c>
      <c r="M593" s="75"/>
      <c r="N593" s="70"/>
      <c r="O593" s="77" t="s">
        <v>179</v>
      </c>
      <c r="P593" s="79">
        <v>44953.737395833334</v>
      </c>
      <c r="Q593" s="77" t="s">
        <v>1143</v>
      </c>
      <c r="R593" s="77">
        <v>0</v>
      </c>
      <c r="S593" s="77">
        <v>1</v>
      </c>
      <c r="T593" s="77">
        <v>0</v>
      </c>
      <c r="U593" s="77">
        <v>0</v>
      </c>
      <c r="V593" s="77">
        <v>129</v>
      </c>
      <c r="W593" s="82" t="s">
        <v>1933</v>
      </c>
      <c r="X593" s="77"/>
      <c r="Y593" s="77"/>
      <c r="Z593" s="77"/>
      <c r="AA593" s="77" t="s">
        <v>2559</v>
      </c>
      <c r="AB593" s="77" t="s">
        <v>2714</v>
      </c>
      <c r="AC593" s="82" t="s">
        <v>2719</v>
      </c>
      <c r="AD593" s="77" t="s">
        <v>2763</v>
      </c>
      <c r="AE593" s="80" t="str">
        <f>HYPERLINK("https://twitter.com/financer_ibraim/status/1619027921943035915")</f>
        <v>https://twitter.com/financer_ibraim/status/1619027921943035915</v>
      </c>
      <c r="AF593" s="79">
        <v>44953.737395833334</v>
      </c>
      <c r="AG593" s="85">
        <v>44953</v>
      </c>
      <c r="AH593" s="82" t="s">
        <v>3343</v>
      </c>
      <c r="AI593" s="77" t="b">
        <v>0</v>
      </c>
      <c r="AJ593" s="77" t="s">
        <v>3747</v>
      </c>
      <c r="AK593" s="77" t="s">
        <v>3754</v>
      </c>
      <c r="AL593" s="77" t="s">
        <v>3757</v>
      </c>
      <c r="AM593" s="77" t="s">
        <v>3769</v>
      </c>
      <c r="AN593" s="77" t="s">
        <v>3787</v>
      </c>
      <c r="AO593" s="77" t="s">
        <v>3803</v>
      </c>
      <c r="AP593" s="77" t="s">
        <v>3808</v>
      </c>
      <c r="AQ593" s="77" t="s">
        <v>4185</v>
      </c>
      <c r="AR593" s="77"/>
      <c r="AS593" s="77"/>
      <c r="AT593" s="77"/>
      <c r="AU593" s="77"/>
      <c r="AV593" s="80" t="str">
        <f>HYPERLINK("https://pbs.twimg.com/media/FnfxTw5akAACIFA.jpg")</f>
        <v>https://pbs.twimg.com/media/FnfxTw5akAACIFA.jpg</v>
      </c>
      <c r="AW593" s="82" t="s">
        <v>4926</v>
      </c>
      <c r="AX593" s="82" t="s">
        <v>4926</v>
      </c>
      <c r="AY593" s="77"/>
      <c r="AZ593" s="82" t="s">
        <v>5615</v>
      </c>
      <c r="BA593" s="82" t="s">
        <v>5615</v>
      </c>
      <c r="BB593" s="82" t="s">
        <v>5615</v>
      </c>
      <c r="BC593" s="82" t="s">
        <v>4926</v>
      </c>
      <c r="BD593" s="82" t="s">
        <v>6031</v>
      </c>
      <c r="BE593" s="77"/>
      <c r="BF593" s="77"/>
      <c r="BG593" s="77"/>
      <c r="BH593" s="77"/>
      <c r="BI593" s="77"/>
    </row>
    <row r="594" spans="1:61" x14ac:dyDescent="0.25">
      <c r="A594" s="62" t="s">
        <v>472</v>
      </c>
      <c r="B594" s="62" t="s">
        <v>472</v>
      </c>
      <c r="C594" s="63"/>
      <c r="D594" s="64"/>
      <c r="E594" s="65"/>
      <c r="F594" s="66"/>
      <c r="G594" s="63"/>
      <c r="H594" s="67"/>
      <c r="I594" s="68"/>
      <c r="J594" s="68"/>
      <c r="K594" s="32"/>
      <c r="L594" s="75">
        <v>594</v>
      </c>
      <c r="M594" s="75"/>
      <c r="N594" s="70"/>
      <c r="O594" s="77" t="s">
        <v>179</v>
      </c>
      <c r="P594" s="79">
        <v>44953.560173611113</v>
      </c>
      <c r="Q594" s="77" t="s">
        <v>1144</v>
      </c>
      <c r="R594" s="77">
        <v>0</v>
      </c>
      <c r="S594" s="77">
        <v>0</v>
      </c>
      <c r="T594" s="77">
        <v>0</v>
      </c>
      <c r="U594" s="77">
        <v>0</v>
      </c>
      <c r="V594" s="77">
        <v>67</v>
      </c>
      <c r="W594" s="82" t="s">
        <v>1934</v>
      </c>
      <c r="X594" s="80" t="str">
        <f>HYPERLINK("https://www.instagram.com/p/Cn5DQNzuvhZ/?igshid=MDJmNzVkMjY=")</f>
        <v>https://www.instagram.com/p/Cn5DQNzuvhZ/?igshid=MDJmNzVkMjY=</v>
      </c>
      <c r="Y594" s="77" t="s">
        <v>2130</v>
      </c>
      <c r="Z594" s="77"/>
      <c r="AA594" s="77"/>
      <c r="AB594" s="77"/>
      <c r="AC594" s="82" t="s">
        <v>2719</v>
      </c>
      <c r="AD594" s="77" t="s">
        <v>2752</v>
      </c>
      <c r="AE594" s="80" t="str">
        <f>HYPERLINK("https://twitter.com/ocanalinvesti/status/1618963700899274753")</f>
        <v>https://twitter.com/ocanalinvesti/status/1618963700899274753</v>
      </c>
      <c r="AF594" s="79">
        <v>44953.560173611113</v>
      </c>
      <c r="AG594" s="85">
        <v>44953</v>
      </c>
      <c r="AH594" s="82" t="s">
        <v>3344</v>
      </c>
      <c r="AI594" s="77" t="b">
        <v>0</v>
      </c>
      <c r="AJ594" s="77"/>
      <c r="AK594" s="77"/>
      <c r="AL594" s="77"/>
      <c r="AM594" s="77"/>
      <c r="AN594" s="77"/>
      <c r="AO594" s="77"/>
      <c r="AP594" s="77"/>
      <c r="AQ594" s="77"/>
      <c r="AR594" s="77"/>
      <c r="AS594" s="77"/>
      <c r="AT594" s="77"/>
      <c r="AU594" s="77"/>
      <c r="AV594" s="80" t="str">
        <f>HYPERLINK("https://pbs.twimg.com/profile_images/1617447990616104962/AQ9WknoA_normal.jpg")</f>
        <v>https://pbs.twimg.com/profile_images/1617447990616104962/AQ9WknoA_normal.jpg</v>
      </c>
      <c r="AW594" s="82" t="s">
        <v>4927</v>
      </c>
      <c r="AX594" s="82" t="s">
        <v>4927</v>
      </c>
      <c r="AY594" s="77"/>
      <c r="AZ594" s="82" t="s">
        <v>5615</v>
      </c>
      <c r="BA594" s="82" t="s">
        <v>5615</v>
      </c>
      <c r="BB594" s="82" t="s">
        <v>5615</v>
      </c>
      <c r="BC594" s="82" t="s">
        <v>4927</v>
      </c>
      <c r="BD594" s="82" t="s">
        <v>6032</v>
      </c>
      <c r="BE594" s="77"/>
      <c r="BF594" s="77"/>
      <c r="BG594" s="77"/>
      <c r="BH594" s="77"/>
      <c r="BI594" s="77"/>
    </row>
    <row r="595" spans="1:61" x14ac:dyDescent="0.25">
      <c r="A595" s="62" t="s">
        <v>473</v>
      </c>
      <c r="B595" s="62" t="s">
        <v>473</v>
      </c>
      <c r="C595" s="63"/>
      <c r="D595" s="64"/>
      <c r="E595" s="65"/>
      <c r="F595" s="66"/>
      <c r="G595" s="63"/>
      <c r="H595" s="67"/>
      <c r="I595" s="68"/>
      <c r="J595" s="68"/>
      <c r="K595" s="32"/>
      <c r="L595" s="75">
        <v>595</v>
      </c>
      <c r="M595" s="75"/>
      <c r="N595" s="70"/>
      <c r="O595" s="77" t="s">
        <v>179</v>
      </c>
      <c r="P595" s="79">
        <v>45189.482604166667</v>
      </c>
      <c r="Q595" s="77" t="s">
        <v>1145</v>
      </c>
      <c r="R595" s="77">
        <v>0</v>
      </c>
      <c r="S595" s="77">
        <v>0</v>
      </c>
      <c r="T595" s="77">
        <v>0</v>
      </c>
      <c r="U595" s="77">
        <v>0</v>
      </c>
      <c r="V595" s="77">
        <v>6</v>
      </c>
      <c r="W595" s="82" t="s">
        <v>1935</v>
      </c>
      <c r="X595" s="77"/>
      <c r="Y595" s="77"/>
      <c r="Z595" s="77"/>
      <c r="AA595" s="77" t="s">
        <v>2560</v>
      </c>
      <c r="AB595" s="77" t="s">
        <v>2714</v>
      </c>
      <c r="AC595" s="82" t="s">
        <v>2729</v>
      </c>
      <c r="AD595" s="77" t="s">
        <v>2752</v>
      </c>
      <c r="AE595" s="80" t="str">
        <f>HYPERLINK("https://twitter.com/mtrotciv/status/1704459126732902558")</f>
        <v>https://twitter.com/mtrotciv/status/1704459126732902558</v>
      </c>
      <c r="AF595" s="79">
        <v>45189.482604166667</v>
      </c>
      <c r="AG595" s="85">
        <v>45189</v>
      </c>
      <c r="AH595" s="82" t="s">
        <v>3345</v>
      </c>
      <c r="AI595" s="77" t="b">
        <v>0</v>
      </c>
      <c r="AJ595" s="77"/>
      <c r="AK595" s="77"/>
      <c r="AL595" s="77"/>
      <c r="AM595" s="77"/>
      <c r="AN595" s="77"/>
      <c r="AO595" s="77"/>
      <c r="AP595" s="77"/>
      <c r="AQ595" s="77" t="s">
        <v>4186</v>
      </c>
      <c r="AR595" s="77"/>
      <c r="AS595" s="77"/>
      <c r="AT595" s="77"/>
      <c r="AU595" s="77"/>
      <c r="AV595" s="80" t="str">
        <f>HYPERLINK("https://pbs.twimg.com/media/F6d0iuzWQAA36Xx.jpg")</f>
        <v>https://pbs.twimg.com/media/F6d0iuzWQAA36Xx.jpg</v>
      </c>
      <c r="AW595" s="82" t="s">
        <v>4928</v>
      </c>
      <c r="AX595" s="82" t="s">
        <v>4928</v>
      </c>
      <c r="AY595" s="77"/>
      <c r="AZ595" s="82" t="s">
        <v>5615</v>
      </c>
      <c r="BA595" s="82" t="s">
        <v>5615</v>
      </c>
      <c r="BB595" s="82" t="s">
        <v>5615</v>
      </c>
      <c r="BC595" s="82" t="s">
        <v>4928</v>
      </c>
      <c r="BD595" s="82" t="s">
        <v>6033</v>
      </c>
      <c r="BE595" s="77"/>
      <c r="BF595" s="77"/>
      <c r="BG595" s="77"/>
      <c r="BH595" s="77"/>
      <c r="BI595" s="77"/>
    </row>
    <row r="596" spans="1:61" x14ac:dyDescent="0.25">
      <c r="A596" s="62" t="s">
        <v>473</v>
      </c>
      <c r="B596" s="62" t="s">
        <v>473</v>
      </c>
      <c r="C596" s="63"/>
      <c r="D596" s="64"/>
      <c r="E596" s="65"/>
      <c r="F596" s="66"/>
      <c r="G596" s="63"/>
      <c r="H596" s="67"/>
      <c r="I596" s="68"/>
      <c r="J596" s="68"/>
      <c r="K596" s="32"/>
      <c r="L596" s="75">
        <v>596</v>
      </c>
      <c r="M596" s="75"/>
      <c r="N596" s="70"/>
      <c r="O596" s="77" t="s">
        <v>179</v>
      </c>
      <c r="P596" s="79">
        <v>45190.512523148151</v>
      </c>
      <c r="Q596" s="77" t="s">
        <v>1146</v>
      </c>
      <c r="R596" s="77">
        <v>0</v>
      </c>
      <c r="S596" s="77">
        <v>0</v>
      </c>
      <c r="T596" s="77">
        <v>0</v>
      </c>
      <c r="U596" s="77">
        <v>0</v>
      </c>
      <c r="V596" s="77">
        <v>5</v>
      </c>
      <c r="W596" s="82" t="s">
        <v>1936</v>
      </c>
      <c r="X596" s="77"/>
      <c r="Y596" s="77"/>
      <c r="Z596" s="77"/>
      <c r="AA596" s="77" t="s">
        <v>2561</v>
      </c>
      <c r="AB596" s="77" t="s">
        <v>2714</v>
      </c>
      <c r="AC596" s="82" t="s">
        <v>2722</v>
      </c>
      <c r="AD596" s="77" t="s">
        <v>2752</v>
      </c>
      <c r="AE596" s="80" t="str">
        <f>HYPERLINK("https://twitter.com/mtrotciv/status/1704832356261962076")</f>
        <v>https://twitter.com/mtrotciv/status/1704832356261962076</v>
      </c>
      <c r="AF596" s="79">
        <v>45190.512523148151</v>
      </c>
      <c r="AG596" s="85">
        <v>45190</v>
      </c>
      <c r="AH596" s="82" t="s">
        <v>3346</v>
      </c>
      <c r="AI596" s="77" t="b">
        <v>0</v>
      </c>
      <c r="AJ596" s="77"/>
      <c r="AK596" s="77"/>
      <c r="AL596" s="77"/>
      <c r="AM596" s="77"/>
      <c r="AN596" s="77"/>
      <c r="AO596" s="77"/>
      <c r="AP596" s="77"/>
      <c r="AQ596" s="77" t="s">
        <v>4187</v>
      </c>
      <c r="AR596" s="77"/>
      <c r="AS596" s="77"/>
      <c r="AT596" s="77"/>
      <c r="AU596" s="77"/>
      <c r="AV596" s="80" t="str">
        <f>HYPERLINK("https://pbs.twimg.com/media/F6jH_XmWwAApOe0.jpg")</f>
        <v>https://pbs.twimg.com/media/F6jH_XmWwAApOe0.jpg</v>
      </c>
      <c r="AW596" s="82" t="s">
        <v>4929</v>
      </c>
      <c r="AX596" s="82" t="s">
        <v>4929</v>
      </c>
      <c r="AY596" s="77"/>
      <c r="AZ596" s="82" t="s">
        <v>5615</v>
      </c>
      <c r="BA596" s="82" t="s">
        <v>5615</v>
      </c>
      <c r="BB596" s="82" t="s">
        <v>5615</v>
      </c>
      <c r="BC596" s="82" t="s">
        <v>4929</v>
      </c>
      <c r="BD596" s="82" t="s">
        <v>6033</v>
      </c>
      <c r="BE596" s="77"/>
      <c r="BF596" s="77"/>
      <c r="BG596" s="77"/>
      <c r="BH596" s="77"/>
      <c r="BI596" s="77"/>
    </row>
    <row r="597" spans="1:61" x14ac:dyDescent="0.25">
      <c r="A597" s="62" t="s">
        <v>473</v>
      </c>
      <c r="B597" s="62" t="s">
        <v>473</v>
      </c>
      <c r="C597" s="63"/>
      <c r="D597" s="64"/>
      <c r="E597" s="65"/>
      <c r="F597" s="66"/>
      <c r="G597" s="63"/>
      <c r="H597" s="67"/>
      <c r="I597" s="68"/>
      <c r="J597" s="68"/>
      <c r="K597" s="32"/>
      <c r="L597" s="75">
        <v>597</v>
      </c>
      <c r="M597" s="75"/>
      <c r="N597" s="70"/>
      <c r="O597" s="77" t="s">
        <v>179</v>
      </c>
      <c r="P597" s="79">
        <v>45191.80097222222</v>
      </c>
      <c r="Q597" s="77" t="s">
        <v>1147</v>
      </c>
      <c r="R597" s="77">
        <v>0</v>
      </c>
      <c r="S597" s="77">
        <v>0</v>
      </c>
      <c r="T597" s="77">
        <v>0</v>
      </c>
      <c r="U597" s="77">
        <v>0</v>
      </c>
      <c r="V597" s="77"/>
      <c r="W597" s="82" t="s">
        <v>1937</v>
      </c>
      <c r="X597" s="77"/>
      <c r="Y597" s="77"/>
      <c r="Z597" s="77"/>
      <c r="AA597" s="77" t="s">
        <v>2562</v>
      </c>
      <c r="AB597" s="77" t="s">
        <v>2714</v>
      </c>
      <c r="AC597" s="82" t="s">
        <v>2719</v>
      </c>
      <c r="AD597" s="77" t="s">
        <v>2752</v>
      </c>
      <c r="AE597" s="80" t="str">
        <f>HYPERLINK("https://twitter.com/mtrotciv/status/1705299273477202339")</f>
        <v>https://twitter.com/mtrotciv/status/1705299273477202339</v>
      </c>
      <c r="AF597" s="79">
        <v>45191.80097222222</v>
      </c>
      <c r="AG597" s="85">
        <v>45191</v>
      </c>
      <c r="AH597" s="82" t="s">
        <v>3347</v>
      </c>
      <c r="AI597" s="77" t="b">
        <v>0</v>
      </c>
      <c r="AJ597" s="77"/>
      <c r="AK597" s="77"/>
      <c r="AL597" s="77"/>
      <c r="AM597" s="77"/>
      <c r="AN597" s="77"/>
      <c r="AO597" s="77"/>
      <c r="AP597" s="77"/>
      <c r="AQ597" s="77" t="s">
        <v>4188</v>
      </c>
      <c r="AR597" s="77"/>
      <c r="AS597" s="77"/>
      <c r="AT597" s="77"/>
      <c r="AU597" s="77"/>
      <c r="AV597" s="80" t="str">
        <f>HYPERLINK("https://pbs.twimg.com/media/F6pwptjX0AAMYKw.jpg")</f>
        <v>https://pbs.twimg.com/media/F6pwptjX0AAMYKw.jpg</v>
      </c>
      <c r="AW597" s="82" t="s">
        <v>4930</v>
      </c>
      <c r="AX597" s="82" t="s">
        <v>4930</v>
      </c>
      <c r="AY597" s="77"/>
      <c r="AZ597" s="82" t="s">
        <v>5615</v>
      </c>
      <c r="BA597" s="82" t="s">
        <v>5615</v>
      </c>
      <c r="BB597" s="82" t="s">
        <v>5615</v>
      </c>
      <c r="BC597" s="82" t="s">
        <v>4930</v>
      </c>
      <c r="BD597" s="82" t="s">
        <v>6033</v>
      </c>
      <c r="BE597" s="77"/>
      <c r="BF597" s="77"/>
      <c r="BG597" s="77"/>
      <c r="BH597" s="77"/>
      <c r="BI597" s="77"/>
    </row>
    <row r="598" spans="1:61" x14ac:dyDescent="0.25">
      <c r="A598" s="62" t="s">
        <v>474</v>
      </c>
      <c r="B598" s="62" t="s">
        <v>474</v>
      </c>
      <c r="C598" s="63"/>
      <c r="D598" s="64"/>
      <c r="E598" s="65"/>
      <c r="F598" s="66"/>
      <c r="G598" s="63"/>
      <c r="H598" s="67"/>
      <c r="I598" s="68"/>
      <c r="J598" s="68"/>
      <c r="K598" s="32"/>
      <c r="L598" s="75">
        <v>598</v>
      </c>
      <c r="M598" s="75"/>
      <c r="N598" s="70"/>
      <c r="O598" s="77" t="s">
        <v>179</v>
      </c>
      <c r="P598" s="79">
        <v>45056.802499999998</v>
      </c>
      <c r="Q598" s="77" t="s">
        <v>1148</v>
      </c>
      <c r="R598" s="77">
        <v>0</v>
      </c>
      <c r="S598" s="77">
        <v>0</v>
      </c>
      <c r="T598" s="77">
        <v>0</v>
      </c>
      <c r="U598" s="77">
        <v>0</v>
      </c>
      <c r="V598" s="77">
        <v>3</v>
      </c>
      <c r="W598" s="82" t="s">
        <v>1938</v>
      </c>
      <c r="X598" s="80" t="str">
        <f>HYPERLINK("http://bit.ly/AncapGPT")</f>
        <v>http://bit.ly/AncapGPT</v>
      </c>
      <c r="Y598" s="77" t="s">
        <v>2132</v>
      </c>
      <c r="Z598" s="77"/>
      <c r="AA598" s="77"/>
      <c r="AB598" s="77"/>
      <c r="AC598" s="82" t="s">
        <v>2744</v>
      </c>
      <c r="AD598" s="77" t="s">
        <v>2752</v>
      </c>
      <c r="AE598" s="80" t="str">
        <f>HYPERLINK("https://twitter.com/ancapgpt/status/1656377466330521606")</f>
        <v>https://twitter.com/ancapgpt/status/1656377466330521606</v>
      </c>
      <c r="AF598" s="79">
        <v>45056.802499999998</v>
      </c>
      <c r="AG598" s="85">
        <v>45056</v>
      </c>
      <c r="AH598" s="82" t="s">
        <v>3348</v>
      </c>
      <c r="AI598" s="77" t="b">
        <v>0</v>
      </c>
      <c r="AJ598" s="77"/>
      <c r="AK598" s="77"/>
      <c r="AL598" s="77"/>
      <c r="AM598" s="77"/>
      <c r="AN598" s="77"/>
      <c r="AO598" s="77"/>
      <c r="AP598" s="77"/>
      <c r="AQ598" s="77"/>
      <c r="AR598" s="77"/>
      <c r="AS598" s="77"/>
      <c r="AT598" s="77"/>
      <c r="AU598" s="77"/>
      <c r="AV598" s="80" t="str">
        <f>HYPERLINK("https://pbs.twimg.com/profile_images/1652427465015402499/zeYn2wGb_normal.jpg")</f>
        <v>https://pbs.twimg.com/profile_images/1652427465015402499/zeYn2wGb_normal.jpg</v>
      </c>
      <c r="AW598" s="82" t="s">
        <v>4931</v>
      </c>
      <c r="AX598" s="82" t="s">
        <v>4931</v>
      </c>
      <c r="AY598" s="77"/>
      <c r="AZ598" s="82" t="s">
        <v>5615</v>
      </c>
      <c r="BA598" s="82" t="s">
        <v>5615</v>
      </c>
      <c r="BB598" s="82" t="s">
        <v>5615</v>
      </c>
      <c r="BC598" s="82" t="s">
        <v>4931</v>
      </c>
      <c r="BD598" s="82" t="s">
        <v>6034</v>
      </c>
      <c r="BE598" s="77"/>
      <c r="BF598" s="77"/>
      <c r="BG598" s="77"/>
      <c r="BH598" s="77"/>
      <c r="BI598" s="77"/>
    </row>
    <row r="599" spans="1:61" x14ac:dyDescent="0.25">
      <c r="A599" s="62" t="s">
        <v>474</v>
      </c>
      <c r="B599" s="62" t="s">
        <v>474</v>
      </c>
      <c r="C599" s="63"/>
      <c r="D599" s="64"/>
      <c r="E599" s="65"/>
      <c r="F599" s="66"/>
      <c r="G599" s="63"/>
      <c r="H599" s="67"/>
      <c r="I599" s="68"/>
      <c r="J599" s="68"/>
      <c r="K599" s="32"/>
      <c r="L599" s="75">
        <v>599</v>
      </c>
      <c r="M599" s="75"/>
      <c r="N599" s="70"/>
      <c r="O599" s="77" t="s">
        <v>179</v>
      </c>
      <c r="P599" s="79">
        <v>45062.989351851851</v>
      </c>
      <c r="Q599" s="77" t="s">
        <v>1149</v>
      </c>
      <c r="R599" s="77">
        <v>0</v>
      </c>
      <c r="S599" s="77">
        <v>0</v>
      </c>
      <c r="T599" s="77">
        <v>0</v>
      </c>
      <c r="U599" s="77">
        <v>0</v>
      </c>
      <c r="V599" s="77">
        <v>8</v>
      </c>
      <c r="W599" s="82" t="s">
        <v>1939</v>
      </c>
      <c r="X599" s="80" t="str">
        <f>HYPERLINK("http://bit.ly/AncapGPT")</f>
        <v>http://bit.ly/AncapGPT</v>
      </c>
      <c r="Y599" s="77" t="s">
        <v>2132</v>
      </c>
      <c r="Z599" s="77"/>
      <c r="AA599" s="77"/>
      <c r="AB599" s="77"/>
      <c r="AC599" s="82" t="s">
        <v>2744</v>
      </c>
      <c r="AD599" s="77" t="s">
        <v>2752</v>
      </c>
      <c r="AE599" s="80" t="str">
        <f>HYPERLINK("https://twitter.com/ancapgpt/status/1658619504094597124")</f>
        <v>https://twitter.com/ancapgpt/status/1658619504094597124</v>
      </c>
      <c r="AF599" s="79">
        <v>45062.989351851851</v>
      </c>
      <c r="AG599" s="85">
        <v>45062</v>
      </c>
      <c r="AH599" s="82" t="s">
        <v>3349</v>
      </c>
      <c r="AI599" s="77" t="b">
        <v>0</v>
      </c>
      <c r="AJ599" s="77"/>
      <c r="AK599" s="77"/>
      <c r="AL599" s="77"/>
      <c r="AM599" s="77"/>
      <c r="AN599" s="77"/>
      <c r="AO599" s="77"/>
      <c r="AP599" s="77"/>
      <c r="AQ599" s="77"/>
      <c r="AR599" s="77"/>
      <c r="AS599" s="77"/>
      <c r="AT599" s="77"/>
      <c r="AU599" s="77"/>
      <c r="AV599" s="80" t="str">
        <f>HYPERLINK("https://pbs.twimg.com/profile_images/1652427465015402499/zeYn2wGb_normal.jpg")</f>
        <v>https://pbs.twimg.com/profile_images/1652427465015402499/zeYn2wGb_normal.jpg</v>
      </c>
      <c r="AW599" s="82" t="s">
        <v>4932</v>
      </c>
      <c r="AX599" s="82" t="s">
        <v>4932</v>
      </c>
      <c r="AY599" s="77"/>
      <c r="AZ599" s="82" t="s">
        <v>5615</v>
      </c>
      <c r="BA599" s="82" t="s">
        <v>5615</v>
      </c>
      <c r="BB599" s="82" t="s">
        <v>5615</v>
      </c>
      <c r="BC599" s="82" t="s">
        <v>4932</v>
      </c>
      <c r="BD599" s="82" t="s">
        <v>6034</v>
      </c>
      <c r="BE599" s="77"/>
      <c r="BF599" s="77"/>
      <c r="BG599" s="77"/>
      <c r="BH599" s="77"/>
      <c r="BI599" s="77"/>
    </row>
    <row r="600" spans="1:61" x14ac:dyDescent="0.25">
      <c r="A600" s="62" t="s">
        <v>474</v>
      </c>
      <c r="B600" s="62" t="s">
        <v>474</v>
      </c>
      <c r="C600" s="63"/>
      <c r="D600" s="64"/>
      <c r="E600" s="65"/>
      <c r="F600" s="66"/>
      <c r="G600" s="63"/>
      <c r="H600" s="67"/>
      <c r="I600" s="68"/>
      <c r="J600" s="68"/>
      <c r="K600" s="32"/>
      <c r="L600" s="75">
        <v>600</v>
      </c>
      <c r="M600" s="75"/>
      <c r="N600" s="70"/>
      <c r="O600" s="77" t="s">
        <v>179</v>
      </c>
      <c r="P600" s="79">
        <v>45062.585150462961</v>
      </c>
      <c r="Q600" s="77" t="s">
        <v>1150</v>
      </c>
      <c r="R600" s="77">
        <v>0</v>
      </c>
      <c r="S600" s="77">
        <v>0</v>
      </c>
      <c r="T600" s="77">
        <v>0</v>
      </c>
      <c r="U600" s="77">
        <v>0</v>
      </c>
      <c r="V600" s="77">
        <v>1</v>
      </c>
      <c r="W600" s="82" t="s">
        <v>1940</v>
      </c>
      <c r="X600" s="80" t="str">
        <f>HYPERLINK("http://bit.ly/AncapGPT")</f>
        <v>http://bit.ly/AncapGPT</v>
      </c>
      <c r="Y600" s="77" t="s">
        <v>2132</v>
      </c>
      <c r="Z600" s="77"/>
      <c r="AA600" s="77"/>
      <c r="AB600" s="77"/>
      <c r="AC600" s="82" t="s">
        <v>2744</v>
      </c>
      <c r="AD600" s="77" t="s">
        <v>2752</v>
      </c>
      <c r="AE600" s="80" t="str">
        <f>HYPERLINK("https://twitter.com/ancapgpt/status/1658473028966322179")</f>
        <v>https://twitter.com/ancapgpt/status/1658473028966322179</v>
      </c>
      <c r="AF600" s="79">
        <v>45062.585150462961</v>
      </c>
      <c r="AG600" s="85">
        <v>45062</v>
      </c>
      <c r="AH600" s="82" t="s">
        <v>3350</v>
      </c>
      <c r="AI600" s="77" t="b">
        <v>0</v>
      </c>
      <c r="AJ600" s="77"/>
      <c r="AK600" s="77"/>
      <c r="AL600" s="77"/>
      <c r="AM600" s="77"/>
      <c r="AN600" s="77"/>
      <c r="AO600" s="77"/>
      <c r="AP600" s="77"/>
      <c r="AQ600" s="77"/>
      <c r="AR600" s="77"/>
      <c r="AS600" s="77"/>
      <c r="AT600" s="77"/>
      <c r="AU600" s="77"/>
      <c r="AV600" s="80" t="str">
        <f>HYPERLINK("https://pbs.twimg.com/profile_images/1652427465015402499/zeYn2wGb_normal.jpg")</f>
        <v>https://pbs.twimg.com/profile_images/1652427465015402499/zeYn2wGb_normal.jpg</v>
      </c>
      <c r="AW600" s="82" t="s">
        <v>4933</v>
      </c>
      <c r="AX600" s="82" t="s">
        <v>4933</v>
      </c>
      <c r="AY600" s="77"/>
      <c r="AZ600" s="82" t="s">
        <v>5615</v>
      </c>
      <c r="BA600" s="82" t="s">
        <v>5615</v>
      </c>
      <c r="BB600" s="82" t="s">
        <v>5615</v>
      </c>
      <c r="BC600" s="82" t="s">
        <v>4933</v>
      </c>
      <c r="BD600" s="82" t="s">
        <v>6034</v>
      </c>
      <c r="BE600" s="77"/>
      <c r="BF600" s="77"/>
      <c r="BG600" s="77"/>
      <c r="BH600" s="77"/>
      <c r="BI600" s="77"/>
    </row>
    <row r="601" spans="1:61" x14ac:dyDescent="0.25">
      <c r="A601" s="62" t="s">
        <v>474</v>
      </c>
      <c r="B601" s="62" t="s">
        <v>474</v>
      </c>
      <c r="C601" s="63"/>
      <c r="D601" s="64"/>
      <c r="E601" s="65"/>
      <c r="F601" s="66"/>
      <c r="G601" s="63"/>
      <c r="H601" s="67"/>
      <c r="I601" s="68"/>
      <c r="J601" s="68"/>
      <c r="K601" s="32"/>
      <c r="L601" s="75">
        <v>601</v>
      </c>
      <c r="M601" s="75"/>
      <c r="N601" s="70"/>
      <c r="O601" s="77" t="s">
        <v>179</v>
      </c>
      <c r="P601" s="79">
        <v>45062.585034722222</v>
      </c>
      <c r="Q601" s="77" t="s">
        <v>1151</v>
      </c>
      <c r="R601" s="77">
        <v>0</v>
      </c>
      <c r="S601" s="77">
        <v>0</v>
      </c>
      <c r="T601" s="77">
        <v>0</v>
      </c>
      <c r="U601" s="77">
        <v>0</v>
      </c>
      <c r="V601" s="77">
        <v>1</v>
      </c>
      <c r="W601" s="82" t="s">
        <v>1941</v>
      </c>
      <c r="X601" s="80" t="str">
        <f>HYPERLINK("http://bit.ly/AncapGPT")</f>
        <v>http://bit.ly/AncapGPT</v>
      </c>
      <c r="Y601" s="77" t="s">
        <v>2132</v>
      </c>
      <c r="Z601" s="77"/>
      <c r="AA601" s="77"/>
      <c r="AB601" s="77"/>
      <c r="AC601" s="82" t="s">
        <v>2744</v>
      </c>
      <c r="AD601" s="77" t="s">
        <v>2752</v>
      </c>
      <c r="AE601" s="80" t="str">
        <f>HYPERLINK("https://twitter.com/ancapgpt/status/1658472985102258176")</f>
        <v>https://twitter.com/ancapgpt/status/1658472985102258176</v>
      </c>
      <c r="AF601" s="79">
        <v>45062.585034722222</v>
      </c>
      <c r="AG601" s="85">
        <v>45062</v>
      </c>
      <c r="AH601" s="82" t="s">
        <v>3351</v>
      </c>
      <c r="AI601" s="77" t="b">
        <v>0</v>
      </c>
      <c r="AJ601" s="77"/>
      <c r="AK601" s="77"/>
      <c r="AL601" s="77"/>
      <c r="AM601" s="77"/>
      <c r="AN601" s="77"/>
      <c r="AO601" s="77"/>
      <c r="AP601" s="77"/>
      <c r="AQ601" s="77"/>
      <c r="AR601" s="77"/>
      <c r="AS601" s="77"/>
      <c r="AT601" s="77"/>
      <c r="AU601" s="77"/>
      <c r="AV601" s="80" t="str">
        <f>HYPERLINK("https://pbs.twimg.com/profile_images/1652427465015402499/zeYn2wGb_normal.jpg")</f>
        <v>https://pbs.twimg.com/profile_images/1652427465015402499/zeYn2wGb_normal.jpg</v>
      </c>
      <c r="AW601" s="82" t="s">
        <v>4934</v>
      </c>
      <c r="AX601" s="82" t="s">
        <v>4934</v>
      </c>
      <c r="AY601" s="77"/>
      <c r="AZ601" s="82" t="s">
        <v>5615</v>
      </c>
      <c r="BA601" s="82" t="s">
        <v>5615</v>
      </c>
      <c r="BB601" s="82" t="s">
        <v>5615</v>
      </c>
      <c r="BC601" s="82" t="s">
        <v>4934</v>
      </c>
      <c r="BD601" s="82" t="s">
        <v>6034</v>
      </c>
      <c r="BE601" s="77"/>
      <c r="BF601" s="77"/>
      <c r="BG601" s="77"/>
      <c r="BH601" s="77"/>
      <c r="BI601" s="77"/>
    </row>
    <row r="602" spans="1:61" x14ac:dyDescent="0.25">
      <c r="A602" s="62" t="s">
        <v>474</v>
      </c>
      <c r="B602" s="62" t="s">
        <v>474</v>
      </c>
      <c r="C602" s="63"/>
      <c r="D602" s="64"/>
      <c r="E602" s="65"/>
      <c r="F602" s="66"/>
      <c r="G602" s="63"/>
      <c r="H602" s="67"/>
      <c r="I602" s="68"/>
      <c r="J602" s="68"/>
      <c r="K602" s="32"/>
      <c r="L602" s="75">
        <v>602</v>
      </c>
      <c r="M602" s="75"/>
      <c r="N602" s="70"/>
      <c r="O602" s="77" t="s">
        <v>179</v>
      </c>
      <c r="P602" s="79">
        <v>45062.584074074075</v>
      </c>
      <c r="Q602" s="77" t="s">
        <v>1152</v>
      </c>
      <c r="R602" s="77">
        <v>0</v>
      </c>
      <c r="S602" s="77">
        <v>0</v>
      </c>
      <c r="T602" s="77">
        <v>0</v>
      </c>
      <c r="U602" s="77">
        <v>0</v>
      </c>
      <c r="V602" s="77">
        <v>2</v>
      </c>
      <c r="W602" s="82" t="s">
        <v>1942</v>
      </c>
      <c r="X602" s="80" t="str">
        <f>HYPERLINK("http://bit.ly/AncapGPT")</f>
        <v>http://bit.ly/AncapGPT</v>
      </c>
      <c r="Y602" s="77" t="s">
        <v>2132</v>
      </c>
      <c r="Z602" s="77"/>
      <c r="AA602" s="77"/>
      <c r="AB602" s="77"/>
      <c r="AC602" s="82" t="s">
        <v>2744</v>
      </c>
      <c r="AD602" s="77" t="s">
        <v>2752</v>
      </c>
      <c r="AE602" s="80" t="str">
        <f>HYPERLINK("https://twitter.com/ancapgpt/status/1658472638698901505")</f>
        <v>https://twitter.com/ancapgpt/status/1658472638698901505</v>
      </c>
      <c r="AF602" s="79">
        <v>45062.584074074075</v>
      </c>
      <c r="AG602" s="85">
        <v>45062</v>
      </c>
      <c r="AH602" s="82" t="s">
        <v>3352</v>
      </c>
      <c r="AI602" s="77" t="b">
        <v>0</v>
      </c>
      <c r="AJ602" s="77"/>
      <c r="AK602" s="77"/>
      <c r="AL602" s="77"/>
      <c r="AM602" s="77"/>
      <c r="AN602" s="77"/>
      <c r="AO602" s="77"/>
      <c r="AP602" s="77"/>
      <c r="AQ602" s="77"/>
      <c r="AR602" s="77"/>
      <c r="AS602" s="77"/>
      <c r="AT602" s="77"/>
      <c r="AU602" s="77"/>
      <c r="AV602" s="80" t="str">
        <f>HYPERLINK("https://pbs.twimg.com/profile_images/1652427465015402499/zeYn2wGb_normal.jpg")</f>
        <v>https://pbs.twimg.com/profile_images/1652427465015402499/zeYn2wGb_normal.jpg</v>
      </c>
      <c r="AW602" s="82" t="s">
        <v>4935</v>
      </c>
      <c r="AX602" s="82" t="s">
        <v>4935</v>
      </c>
      <c r="AY602" s="77"/>
      <c r="AZ602" s="82" t="s">
        <v>5615</v>
      </c>
      <c r="BA602" s="82" t="s">
        <v>5615</v>
      </c>
      <c r="BB602" s="82" t="s">
        <v>5615</v>
      </c>
      <c r="BC602" s="82" t="s">
        <v>4935</v>
      </c>
      <c r="BD602" s="82" t="s">
        <v>6034</v>
      </c>
      <c r="BE602" s="77"/>
      <c r="BF602" s="77"/>
      <c r="BG602" s="77"/>
      <c r="BH602" s="77"/>
      <c r="BI602" s="77"/>
    </row>
    <row r="603" spans="1:61" x14ac:dyDescent="0.25">
      <c r="A603" s="62" t="s">
        <v>474</v>
      </c>
      <c r="B603" s="62" t="s">
        <v>474</v>
      </c>
      <c r="C603" s="63"/>
      <c r="D603" s="64"/>
      <c r="E603" s="65"/>
      <c r="F603" s="66"/>
      <c r="G603" s="63"/>
      <c r="H603" s="67"/>
      <c r="I603" s="68"/>
      <c r="J603" s="68"/>
      <c r="K603" s="32"/>
      <c r="L603" s="75">
        <v>603</v>
      </c>
      <c r="M603" s="75"/>
      <c r="N603" s="70"/>
      <c r="O603" s="77" t="s">
        <v>179</v>
      </c>
      <c r="P603" s="79">
        <v>45062.58394675926</v>
      </c>
      <c r="Q603" s="77" t="s">
        <v>1153</v>
      </c>
      <c r="R603" s="77">
        <v>0</v>
      </c>
      <c r="S603" s="77">
        <v>0</v>
      </c>
      <c r="T603" s="77">
        <v>0</v>
      </c>
      <c r="U603" s="77">
        <v>0</v>
      </c>
      <c r="V603" s="77">
        <v>1</v>
      </c>
      <c r="W603" s="82" t="s">
        <v>1940</v>
      </c>
      <c r="X603" s="80" t="str">
        <f>HYPERLINK("http://bit.ly/AncapGPT")</f>
        <v>http://bit.ly/AncapGPT</v>
      </c>
      <c r="Y603" s="77" t="s">
        <v>2132</v>
      </c>
      <c r="Z603" s="77"/>
      <c r="AA603" s="77"/>
      <c r="AB603" s="77"/>
      <c r="AC603" s="82" t="s">
        <v>2744</v>
      </c>
      <c r="AD603" s="77" t="s">
        <v>2752</v>
      </c>
      <c r="AE603" s="80" t="str">
        <f>HYPERLINK("https://twitter.com/ancapgpt/status/1658472593987604480")</f>
        <v>https://twitter.com/ancapgpt/status/1658472593987604480</v>
      </c>
      <c r="AF603" s="79">
        <v>45062.58394675926</v>
      </c>
      <c r="AG603" s="85">
        <v>45062</v>
      </c>
      <c r="AH603" s="82" t="s">
        <v>3353</v>
      </c>
      <c r="AI603" s="77" t="b">
        <v>0</v>
      </c>
      <c r="AJ603" s="77"/>
      <c r="AK603" s="77"/>
      <c r="AL603" s="77"/>
      <c r="AM603" s="77"/>
      <c r="AN603" s="77"/>
      <c r="AO603" s="77"/>
      <c r="AP603" s="77"/>
      <c r="AQ603" s="77"/>
      <c r="AR603" s="77"/>
      <c r="AS603" s="77"/>
      <c r="AT603" s="77"/>
      <c r="AU603" s="77"/>
      <c r="AV603" s="80" t="str">
        <f>HYPERLINK("https://pbs.twimg.com/profile_images/1652427465015402499/zeYn2wGb_normal.jpg")</f>
        <v>https://pbs.twimg.com/profile_images/1652427465015402499/zeYn2wGb_normal.jpg</v>
      </c>
      <c r="AW603" s="82" t="s">
        <v>4936</v>
      </c>
      <c r="AX603" s="82" t="s">
        <v>4936</v>
      </c>
      <c r="AY603" s="77"/>
      <c r="AZ603" s="82" t="s">
        <v>5615</v>
      </c>
      <c r="BA603" s="82" t="s">
        <v>5615</v>
      </c>
      <c r="BB603" s="82" t="s">
        <v>5615</v>
      </c>
      <c r="BC603" s="82" t="s">
        <v>4936</v>
      </c>
      <c r="BD603" s="82" t="s">
        <v>6034</v>
      </c>
      <c r="BE603" s="77"/>
      <c r="BF603" s="77"/>
      <c r="BG603" s="77"/>
      <c r="BH603" s="77"/>
      <c r="BI603" s="77"/>
    </row>
    <row r="604" spans="1:61" x14ac:dyDescent="0.25">
      <c r="A604" s="62" t="s">
        <v>474</v>
      </c>
      <c r="B604" s="62" t="s">
        <v>474</v>
      </c>
      <c r="C604" s="63"/>
      <c r="D604" s="64"/>
      <c r="E604" s="65"/>
      <c r="F604" s="66"/>
      <c r="G604" s="63"/>
      <c r="H604" s="67"/>
      <c r="I604" s="68"/>
      <c r="J604" s="68"/>
      <c r="K604" s="32"/>
      <c r="L604" s="75">
        <v>604</v>
      </c>
      <c r="M604" s="75"/>
      <c r="N604" s="70"/>
      <c r="O604" s="77" t="s">
        <v>179</v>
      </c>
      <c r="P604" s="79">
        <v>45062.583460648151</v>
      </c>
      <c r="Q604" s="77" t="s">
        <v>1154</v>
      </c>
      <c r="R604" s="77">
        <v>0</v>
      </c>
      <c r="S604" s="77">
        <v>0</v>
      </c>
      <c r="T604" s="77">
        <v>0</v>
      </c>
      <c r="U604" s="77">
        <v>0</v>
      </c>
      <c r="V604" s="77"/>
      <c r="W604" s="82" t="s">
        <v>1943</v>
      </c>
      <c r="X604" s="80" t="str">
        <f>HYPERLINK("http://bit.ly/AncapGPT")</f>
        <v>http://bit.ly/AncapGPT</v>
      </c>
      <c r="Y604" s="77" t="s">
        <v>2132</v>
      </c>
      <c r="Z604" s="77"/>
      <c r="AA604" s="77"/>
      <c r="AB604" s="77"/>
      <c r="AC604" s="82" t="s">
        <v>2744</v>
      </c>
      <c r="AD604" s="77" t="s">
        <v>2752</v>
      </c>
      <c r="AE604" s="80" t="str">
        <f>HYPERLINK("https://twitter.com/ancapgpt/status/1658472416786657285")</f>
        <v>https://twitter.com/ancapgpt/status/1658472416786657285</v>
      </c>
      <c r="AF604" s="79">
        <v>45062.583460648151</v>
      </c>
      <c r="AG604" s="85">
        <v>45062</v>
      </c>
      <c r="AH604" s="82" t="s">
        <v>3354</v>
      </c>
      <c r="AI604" s="77" t="b">
        <v>0</v>
      </c>
      <c r="AJ604" s="77"/>
      <c r="AK604" s="77"/>
      <c r="AL604" s="77"/>
      <c r="AM604" s="77"/>
      <c r="AN604" s="77"/>
      <c r="AO604" s="77"/>
      <c r="AP604" s="77"/>
      <c r="AQ604" s="77"/>
      <c r="AR604" s="77"/>
      <c r="AS604" s="77"/>
      <c r="AT604" s="77"/>
      <c r="AU604" s="77"/>
      <c r="AV604" s="80" t="str">
        <f>HYPERLINK("https://pbs.twimg.com/profile_images/1652427465015402499/zeYn2wGb_normal.jpg")</f>
        <v>https://pbs.twimg.com/profile_images/1652427465015402499/zeYn2wGb_normal.jpg</v>
      </c>
      <c r="AW604" s="82" t="s">
        <v>4937</v>
      </c>
      <c r="AX604" s="82" t="s">
        <v>4937</v>
      </c>
      <c r="AY604" s="77"/>
      <c r="AZ604" s="82" t="s">
        <v>5615</v>
      </c>
      <c r="BA604" s="82" t="s">
        <v>5615</v>
      </c>
      <c r="BB604" s="82" t="s">
        <v>5615</v>
      </c>
      <c r="BC604" s="82" t="s">
        <v>4937</v>
      </c>
      <c r="BD604" s="82" t="s">
        <v>6034</v>
      </c>
      <c r="BE604" s="77"/>
      <c r="BF604" s="77"/>
      <c r="BG604" s="77"/>
      <c r="BH604" s="77"/>
      <c r="BI604" s="77"/>
    </row>
    <row r="605" spans="1:61" x14ac:dyDescent="0.25">
      <c r="A605" s="62" t="s">
        <v>474</v>
      </c>
      <c r="B605" s="62" t="s">
        <v>474</v>
      </c>
      <c r="C605" s="63"/>
      <c r="D605" s="64"/>
      <c r="E605" s="65"/>
      <c r="F605" s="66"/>
      <c r="G605" s="63"/>
      <c r="H605" s="67"/>
      <c r="I605" s="68"/>
      <c r="J605" s="68"/>
      <c r="K605" s="32"/>
      <c r="L605" s="75">
        <v>605</v>
      </c>
      <c r="M605" s="75"/>
      <c r="N605" s="70"/>
      <c r="O605" s="77" t="s">
        <v>179</v>
      </c>
      <c r="P605" s="79">
        <v>45062.444837962961</v>
      </c>
      <c r="Q605" s="77" t="s">
        <v>1155</v>
      </c>
      <c r="R605" s="77">
        <v>0</v>
      </c>
      <c r="S605" s="77">
        <v>0</v>
      </c>
      <c r="T605" s="77">
        <v>0</v>
      </c>
      <c r="U605" s="77">
        <v>0</v>
      </c>
      <c r="V605" s="77"/>
      <c r="W605" s="82" t="s">
        <v>1944</v>
      </c>
      <c r="X605" s="80" t="str">
        <f>HYPERLINK("http://bit.ly/AncapGPT")</f>
        <v>http://bit.ly/AncapGPT</v>
      </c>
      <c r="Y605" s="77" t="s">
        <v>2132</v>
      </c>
      <c r="Z605" s="77"/>
      <c r="AA605" s="77"/>
      <c r="AB605" s="77"/>
      <c r="AC605" s="82" t="s">
        <v>2744</v>
      </c>
      <c r="AD605" s="77" t="s">
        <v>2752</v>
      </c>
      <c r="AE605" s="80" t="str">
        <f>HYPERLINK("https://twitter.com/ancapgpt/status/1658422180084957184")</f>
        <v>https://twitter.com/ancapgpt/status/1658422180084957184</v>
      </c>
      <c r="AF605" s="79">
        <v>45062.444837962961</v>
      </c>
      <c r="AG605" s="85">
        <v>45062</v>
      </c>
      <c r="AH605" s="82" t="s">
        <v>3355</v>
      </c>
      <c r="AI605" s="77" t="b">
        <v>0</v>
      </c>
      <c r="AJ605" s="77"/>
      <c r="AK605" s="77"/>
      <c r="AL605" s="77"/>
      <c r="AM605" s="77"/>
      <c r="AN605" s="77"/>
      <c r="AO605" s="77"/>
      <c r="AP605" s="77"/>
      <c r="AQ605" s="77"/>
      <c r="AR605" s="77"/>
      <c r="AS605" s="77"/>
      <c r="AT605" s="77"/>
      <c r="AU605" s="77"/>
      <c r="AV605" s="80" t="str">
        <f>HYPERLINK("https://pbs.twimg.com/profile_images/1652427465015402499/zeYn2wGb_normal.jpg")</f>
        <v>https://pbs.twimg.com/profile_images/1652427465015402499/zeYn2wGb_normal.jpg</v>
      </c>
      <c r="AW605" s="82" t="s">
        <v>4938</v>
      </c>
      <c r="AX605" s="82" t="s">
        <v>4938</v>
      </c>
      <c r="AY605" s="77"/>
      <c r="AZ605" s="82" t="s">
        <v>5615</v>
      </c>
      <c r="BA605" s="82" t="s">
        <v>5615</v>
      </c>
      <c r="BB605" s="82" t="s">
        <v>5615</v>
      </c>
      <c r="BC605" s="82" t="s">
        <v>4938</v>
      </c>
      <c r="BD605" s="82" t="s">
        <v>6034</v>
      </c>
      <c r="BE605" s="77"/>
      <c r="BF605" s="77"/>
      <c r="BG605" s="77"/>
      <c r="BH605" s="77"/>
      <c r="BI605" s="77"/>
    </row>
    <row r="606" spans="1:61" x14ac:dyDescent="0.25">
      <c r="A606" s="62" t="s">
        <v>474</v>
      </c>
      <c r="B606" s="62" t="s">
        <v>474</v>
      </c>
      <c r="C606" s="63"/>
      <c r="D606" s="64"/>
      <c r="E606" s="65"/>
      <c r="F606" s="66"/>
      <c r="G606" s="63"/>
      <c r="H606" s="67"/>
      <c r="I606" s="68"/>
      <c r="J606" s="68"/>
      <c r="K606" s="32"/>
      <c r="L606" s="75">
        <v>606</v>
      </c>
      <c r="M606" s="75"/>
      <c r="N606" s="70"/>
      <c r="O606" s="77" t="s">
        <v>179</v>
      </c>
      <c r="P606" s="79">
        <v>45062.444756944446</v>
      </c>
      <c r="Q606" s="77" t="s">
        <v>1156</v>
      </c>
      <c r="R606" s="77">
        <v>0</v>
      </c>
      <c r="S606" s="77">
        <v>0</v>
      </c>
      <c r="T606" s="77">
        <v>0</v>
      </c>
      <c r="U606" s="77">
        <v>0</v>
      </c>
      <c r="V606" s="77">
        <v>3</v>
      </c>
      <c r="W606" s="82" t="s">
        <v>1940</v>
      </c>
      <c r="X606" s="80" t="str">
        <f>HYPERLINK("http://bit.ly/AncapGPT")</f>
        <v>http://bit.ly/AncapGPT</v>
      </c>
      <c r="Y606" s="77" t="s">
        <v>2132</v>
      </c>
      <c r="Z606" s="77"/>
      <c r="AA606" s="77"/>
      <c r="AB606" s="77"/>
      <c r="AC606" s="82" t="s">
        <v>2744</v>
      </c>
      <c r="AD606" s="77" t="s">
        <v>2752</v>
      </c>
      <c r="AE606" s="80" t="str">
        <f>HYPERLINK("https://twitter.com/ancapgpt/status/1658422152478044160")</f>
        <v>https://twitter.com/ancapgpt/status/1658422152478044160</v>
      </c>
      <c r="AF606" s="79">
        <v>45062.444756944446</v>
      </c>
      <c r="AG606" s="85">
        <v>45062</v>
      </c>
      <c r="AH606" s="82" t="s">
        <v>3356</v>
      </c>
      <c r="AI606" s="77" t="b">
        <v>0</v>
      </c>
      <c r="AJ606" s="77"/>
      <c r="AK606" s="77"/>
      <c r="AL606" s="77"/>
      <c r="AM606" s="77"/>
      <c r="AN606" s="77"/>
      <c r="AO606" s="77"/>
      <c r="AP606" s="77"/>
      <c r="AQ606" s="77"/>
      <c r="AR606" s="77"/>
      <c r="AS606" s="77"/>
      <c r="AT606" s="77"/>
      <c r="AU606" s="77"/>
      <c r="AV606" s="80" t="str">
        <f>HYPERLINK("https://pbs.twimg.com/profile_images/1652427465015402499/zeYn2wGb_normal.jpg")</f>
        <v>https://pbs.twimg.com/profile_images/1652427465015402499/zeYn2wGb_normal.jpg</v>
      </c>
      <c r="AW606" s="82" t="s">
        <v>4939</v>
      </c>
      <c r="AX606" s="82" t="s">
        <v>4939</v>
      </c>
      <c r="AY606" s="77"/>
      <c r="AZ606" s="82" t="s">
        <v>5615</v>
      </c>
      <c r="BA606" s="82" t="s">
        <v>5615</v>
      </c>
      <c r="BB606" s="82" t="s">
        <v>5615</v>
      </c>
      <c r="BC606" s="82" t="s">
        <v>4939</v>
      </c>
      <c r="BD606" s="82" t="s">
        <v>6034</v>
      </c>
      <c r="BE606" s="77"/>
      <c r="BF606" s="77"/>
      <c r="BG606" s="77"/>
      <c r="BH606" s="77"/>
      <c r="BI606" s="77"/>
    </row>
    <row r="607" spans="1:61" x14ac:dyDescent="0.25">
      <c r="A607" s="62" t="s">
        <v>474</v>
      </c>
      <c r="B607" s="62" t="s">
        <v>474</v>
      </c>
      <c r="C607" s="63"/>
      <c r="D607" s="64"/>
      <c r="E607" s="65"/>
      <c r="F607" s="66"/>
      <c r="G607" s="63"/>
      <c r="H607" s="67"/>
      <c r="I607" s="68"/>
      <c r="J607" s="68"/>
      <c r="K607" s="32"/>
      <c r="L607" s="75">
        <v>607</v>
      </c>
      <c r="M607" s="75"/>
      <c r="N607" s="70"/>
      <c r="O607" s="77" t="s">
        <v>179</v>
      </c>
      <c r="P607" s="79">
        <v>45061.821828703702</v>
      </c>
      <c r="Q607" s="77" t="s">
        <v>1157</v>
      </c>
      <c r="R607" s="77">
        <v>0</v>
      </c>
      <c r="S607" s="77">
        <v>0</v>
      </c>
      <c r="T607" s="77">
        <v>0</v>
      </c>
      <c r="U607" s="77">
        <v>0</v>
      </c>
      <c r="V607" s="77">
        <v>2</v>
      </c>
      <c r="W607" s="82" t="s">
        <v>1945</v>
      </c>
      <c r="X607" s="80" t="str">
        <f>HYPERLINK("http://bit.ly/AncapGPT")</f>
        <v>http://bit.ly/AncapGPT</v>
      </c>
      <c r="Y607" s="77" t="s">
        <v>2132</v>
      </c>
      <c r="Z607" s="77"/>
      <c r="AA607" s="77"/>
      <c r="AB607" s="77"/>
      <c r="AC607" s="82" t="s">
        <v>2744</v>
      </c>
      <c r="AD607" s="77" t="s">
        <v>2752</v>
      </c>
      <c r="AE607" s="80" t="str">
        <f>HYPERLINK("https://twitter.com/ancapgpt/status/1658196410875953154")</f>
        <v>https://twitter.com/ancapgpt/status/1658196410875953154</v>
      </c>
      <c r="AF607" s="79">
        <v>45061.821828703702</v>
      </c>
      <c r="AG607" s="85">
        <v>45061</v>
      </c>
      <c r="AH607" s="82" t="s">
        <v>3357</v>
      </c>
      <c r="AI607" s="77" t="b">
        <v>0</v>
      </c>
      <c r="AJ607" s="77"/>
      <c r="AK607" s="77"/>
      <c r="AL607" s="77"/>
      <c r="AM607" s="77"/>
      <c r="AN607" s="77"/>
      <c r="AO607" s="77"/>
      <c r="AP607" s="77"/>
      <c r="AQ607" s="77"/>
      <c r="AR607" s="77"/>
      <c r="AS607" s="77"/>
      <c r="AT607" s="77"/>
      <c r="AU607" s="77"/>
      <c r="AV607" s="80" t="str">
        <f>HYPERLINK("https://pbs.twimg.com/profile_images/1652427465015402499/zeYn2wGb_normal.jpg")</f>
        <v>https://pbs.twimg.com/profile_images/1652427465015402499/zeYn2wGb_normal.jpg</v>
      </c>
      <c r="AW607" s="82" t="s">
        <v>4940</v>
      </c>
      <c r="AX607" s="82" t="s">
        <v>4940</v>
      </c>
      <c r="AY607" s="77"/>
      <c r="AZ607" s="82" t="s">
        <v>5615</v>
      </c>
      <c r="BA607" s="82" t="s">
        <v>5615</v>
      </c>
      <c r="BB607" s="82" t="s">
        <v>5615</v>
      </c>
      <c r="BC607" s="82" t="s">
        <v>4940</v>
      </c>
      <c r="BD607" s="82" t="s">
        <v>6034</v>
      </c>
      <c r="BE607" s="77"/>
      <c r="BF607" s="77"/>
      <c r="BG607" s="77"/>
      <c r="BH607" s="77"/>
      <c r="BI607" s="77"/>
    </row>
    <row r="608" spans="1:61" x14ac:dyDescent="0.25">
      <c r="A608" s="62" t="s">
        <v>474</v>
      </c>
      <c r="B608" s="62" t="s">
        <v>474</v>
      </c>
      <c r="C608" s="63"/>
      <c r="D608" s="64"/>
      <c r="E608" s="65"/>
      <c r="F608" s="66"/>
      <c r="G608" s="63"/>
      <c r="H608" s="67"/>
      <c r="I608" s="68"/>
      <c r="J608" s="68"/>
      <c r="K608" s="32"/>
      <c r="L608" s="75">
        <v>608</v>
      </c>
      <c r="M608" s="75"/>
      <c r="N608" s="70"/>
      <c r="O608" s="77" t="s">
        <v>179</v>
      </c>
      <c r="P608" s="79">
        <v>45061.821643518517</v>
      </c>
      <c r="Q608" s="77" t="s">
        <v>1158</v>
      </c>
      <c r="R608" s="77">
        <v>0</v>
      </c>
      <c r="S608" s="77">
        <v>0</v>
      </c>
      <c r="T608" s="77">
        <v>0</v>
      </c>
      <c r="U608" s="77">
        <v>0</v>
      </c>
      <c r="V608" s="77">
        <v>1</v>
      </c>
      <c r="W608" s="82" t="s">
        <v>1946</v>
      </c>
      <c r="X608" s="80" t="str">
        <f>HYPERLINK("http://bit.ly/AncapGPT")</f>
        <v>http://bit.ly/AncapGPT</v>
      </c>
      <c r="Y608" s="77" t="s">
        <v>2132</v>
      </c>
      <c r="Z608" s="77"/>
      <c r="AA608" s="77"/>
      <c r="AB608" s="77"/>
      <c r="AC608" s="82" t="s">
        <v>2744</v>
      </c>
      <c r="AD608" s="77" t="s">
        <v>2752</v>
      </c>
      <c r="AE608" s="80" t="str">
        <f>HYPERLINK("https://twitter.com/ancapgpt/status/1658196343267926027")</f>
        <v>https://twitter.com/ancapgpt/status/1658196343267926027</v>
      </c>
      <c r="AF608" s="79">
        <v>45061.821643518517</v>
      </c>
      <c r="AG608" s="85">
        <v>45061</v>
      </c>
      <c r="AH608" s="82" t="s">
        <v>3358</v>
      </c>
      <c r="AI608" s="77" t="b">
        <v>0</v>
      </c>
      <c r="AJ608" s="77"/>
      <c r="AK608" s="77"/>
      <c r="AL608" s="77"/>
      <c r="AM608" s="77"/>
      <c r="AN608" s="77"/>
      <c r="AO608" s="77"/>
      <c r="AP608" s="77"/>
      <c r="AQ608" s="77"/>
      <c r="AR608" s="77"/>
      <c r="AS608" s="77"/>
      <c r="AT608" s="77"/>
      <c r="AU608" s="77"/>
      <c r="AV608" s="80" t="str">
        <f>HYPERLINK("https://pbs.twimg.com/profile_images/1652427465015402499/zeYn2wGb_normal.jpg")</f>
        <v>https://pbs.twimg.com/profile_images/1652427465015402499/zeYn2wGb_normal.jpg</v>
      </c>
      <c r="AW608" s="82" t="s">
        <v>4941</v>
      </c>
      <c r="AX608" s="82" t="s">
        <v>4941</v>
      </c>
      <c r="AY608" s="77"/>
      <c r="AZ608" s="82" t="s">
        <v>5615</v>
      </c>
      <c r="BA608" s="82" t="s">
        <v>5615</v>
      </c>
      <c r="BB608" s="82" t="s">
        <v>5615</v>
      </c>
      <c r="BC608" s="82" t="s">
        <v>4941</v>
      </c>
      <c r="BD608" s="82" t="s">
        <v>6034</v>
      </c>
      <c r="BE608" s="77"/>
      <c r="BF608" s="77"/>
      <c r="BG608" s="77"/>
      <c r="BH608" s="77"/>
      <c r="BI608" s="77"/>
    </row>
    <row r="609" spans="1:61" x14ac:dyDescent="0.25">
      <c r="A609" s="62" t="s">
        <v>475</v>
      </c>
      <c r="B609" s="62" t="s">
        <v>475</v>
      </c>
      <c r="C609" s="63"/>
      <c r="D609" s="64"/>
      <c r="E609" s="65"/>
      <c r="F609" s="66"/>
      <c r="G609" s="63"/>
      <c r="H609" s="67"/>
      <c r="I609" s="68"/>
      <c r="J609" s="68"/>
      <c r="K609" s="32"/>
      <c r="L609" s="75">
        <v>609</v>
      </c>
      <c r="M609" s="75"/>
      <c r="N609" s="70"/>
      <c r="O609" s="77" t="s">
        <v>583</v>
      </c>
      <c r="P609" s="79">
        <v>44994.433321759258</v>
      </c>
      <c r="Q609" s="77" t="s">
        <v>1159</v>
      </c>
      <c r="R609" s="77">
        <v>0</v>
      </c>
      <c r="S609" s="77">
        <v>0</v>
      </c>
      <c r="T609" s="77">
        <v>0</v>
      </c>
      <c r="U609" s="77">
        <v>0</v>
      </c>
      <c r="V609" s="77">
        <v>12</v>
      </c>
      <c r="W609" s="82" t="s">
        <v>1947</v>
      </c>
      <c r="X609" s="77"/>
      <c r="Y609" s="77"/>
      <c r="Z609" s="77"/>
      <c r="AA609" s="77"/>
      <c r="AB609" s="77"/>
      <c r="AC609" s="82" t="s">
        <v>2720</v>
      </c>
      <c r="AD609" s="77" t="s">
        <v>2752</v>
      </c>
      <c r="AE609" s="80" t="str">
        <f>HYPERLINK("https://twitter.com/economedicos/status/1633775631358996481")</f>
        <v>https://twitter.com/economedicos/status/1633775631358996481</v>
      </c>
      <c r="AF609" s="79">
        <v>44994.433321759258</v>
      </c>
      <c r="AG609" s="85">
        <v>44994</v>
      </c>
      <c r="AH609" s="82" t="s">
        <v>3359</v>
      </c>
      <c r="AI609" s="77"/>
      <c r="AJ609" s="77"/>
      <c r="AK609" s="77"/>
      <c r="AL609" s="77"/>
      <c r="AM609" s="77"/>
      <c r="AN609" s="77"/>
      <c r="AO609" s="77"/>
      <c r="AP609" s="77"/>
      <c r="AQ609" s="77"/>
      <c r="AR609" s="77"/>
      <c r="AS609" s="77"/>
      <c r="AT609" s="77"/>
      <c r="AU609" s="77"/>
      <c r="AV609" s="80" t="str">
        <f>HYPERLINK("https://pbs.twimg.com/profile_images/1283576393662636034/EjgsMA_W_normal.jpg")</f>
        <v>https://pbs.twimg.com/profile_images/1283576393662636034/EjgsMA_W_normal.jpg</v>
      </c>
      <c r="AW609" s="82" t="s">
        <v>4942</v>
      </c>
      <c r="AX609" s="82" t="s">
        <v>5394</v>
      </c>
      <c r="AY609" s="82" t="s">
        <v>5605</v>
      </c>
      <c r="AZ609" s="82" t="s">
        <v>5674</v>
      </c>
      <c r="BA609" s="82" t="s">
        <v>5615</v>
      </c>
      <c r="BB609" s="82" t="s">
        <v>5615</v>
      </c>
      <c r="BC609" s="82" t="s">
        <v>5674</v>
      </c>
      <c r="BD609" s="82" t="s">
        <v>5605</v>
      </c>
      <c r="BE609" s="77"/>
      <c r="BF609" s="77"/>
      <c r="BG609" s="77"/>
      <c r="BH609" s="77"/>
      <c r="BI609" s="77"/>
    </row>
    <row r="610" spans="1:61" x14ac:dyDescent="0.25">
      <c r="A610" s="62" t="s">
        <v>475</v>
      </c>
      <c r="B610" s="62" t="s">
        <v>475</v>
      </c>
      <c r="C610" s="63"/>
      <c r="D610" s="64"/>
      <c r="E610" s="65"/>
      <c r="F610" s="66"/>
      <c r="G610" s="63"/>
      <c r="H610" s="67"/>
      <c r="I610" s="68"/>
      <c r="J610" s="68"/>
      <c r="K610" s="32"/>
      <c r="L610" s="75">
        <v>610</v>
      </c>
      <c r="M610" s="75"/>
      <c r="N610" s="70"/>
      <c r="O610" s="77" t="s">
        <v>583</v>
      </c>
      <c r="P610" s="79">
        <v>44993.46125</v>
      </c>
      <c r="Q610" s="77" t="s">
        <v>1160</v>
      </c>
      <c r="R610" s="77">
        <v>0</v>
      </c>
      <c r="S610" s="77">
        <v>0</v>
      </c>
      <c r="T610" s="77">
        <v>0</v>
      </c>
      <c r="U610" s="77">
        <v>0</v>
      </c>
      <c r="V610" s="77">
        <v>9</v>
      </c>
      <c r="W610" s="82" t="s">
        <v>1947</v>
      </c>
      <c r="X610" s="77"/>
      <c r="Y610" s="77"/>
      <c r="Z610" s="77"/>
      <c r="AA610" s="77"/>
      <c r="AB610" s="77"/>
      <c r="AC610" s="82" t="s">
        <v>2720</v>
      </c>
      <c r="AD610" s="77" t="s">
        <v>2752</v>
      </c>
      <c r="AE610" s="80" t="str">
        <f>HYPERLINK("https://twitter.com/economedicos/status/1633423365435260931")</f>
        <v>https://twitter.com/economedicos/status/1633423365435260931</v>
      </c>
      <c r="AF610" s="79">
        <v>44993.46125</v>
      </c>
      <c r="AG610" s="85">
        <v>44993</v>
      </c>
      <c r="AH610" s="82" t="s">
        <v>3360</v>
      </c>
      <c r="AI610" s="77"/>
      <c r="AJ610" s="77"/>
      <c r="AK610" s="77"/>
      <c r="AL610" s="77"/>
      <c r="AM610" s="77"/>
      <c r="AN610" s="77"/>
      <c r="AO610" s="77"/>
      <c r="AP610" s="77"/>
      <c r="AQ610" s="77"/>
      <c r="AR610" s="77"/>
      <c r="AS610" s="77"/>
      <c r="AT610" s="77"/>
      <c r="AU610" s="77"/>
      <c r="AV610" s="80" t="str">
        <f>HYPERLINK("https://pbs.twimg.com/profile_images/1283576393662636034/EjgsMA_W_normal.jpg")</f>
        <v>https://pbs.twimg.com/profile_images/1283576393662636034/EjgsMA_W_normal.jpg</v>
      </c>
      <c r="AW610" s="82" t="s">
        <v>4943</v>
      </c>
      <c r="AX610" s="82" t="s">
        <v>5395</v>
      </c>
      <c r="AY610" s="82" t="s">
        <v>5605</v>
      </c>
      <c r="AZ610" s="82" t="s">
        <v>5675</v>
      </c>
      <c r="BA610" s="82" t="s">
        <v>5615</v>
      </c>
      <c r="BB610" s="82" t="s">
        <v>5615</v>
      </c>
      <c r="BC610" s="82" t="s">
        <v>5675</v>
      </c>
      <c r="BD610" s="82" t="s">
        <v>5605</v>
      </c>
      <c r="BE610" s="77"/>
      <c r="BF610" s="77"/>
      <c r="BG610" s="77"/>
      <c r="BH610" s="77"/>
      <c r="BI610" s="77"/>
    </row>
    <row r="611" spans="1:61" x14ac:dyDescent="0.25">
      <c r="A611" s="62" t="s">
        <v>475</v>
      </c>
      <c r="B611" s="62" t="s">
        <v>475</v>
      </c>
      <c r="C611" s="63"/>
      <c r="D611" s="64"/>
      <c r="E611" s="65"/>
      <c r="F611" s="66"/>
      <c r="G611" s="63"/>
      <c r="H611" s="67"/>
      <c r="I611" s="68"/>
      <c r="J611" s="68"/>
      <c r="K611" s="32"/>
      <c r="L611" s="75">
        <v>611</v>
      </c>
      <c r="M611" s="75"/>
      <c r="N611" s="70"/>
      <c r="O611" s="77" t="s">
        <v>583</v>
      </c>
      <c r="P611" s="79">
        <v>44986.448182870372</v>
      </c>
      <c r="Q611" s="77" t="s">
        <v>1161</v>
      </c>
      <c r="R611" s="77">
        <v>0</v>
      </c>
      <c r="S611" s="77">
        <v>0</v>
      </c>
      <c r="T611" s="77">
        <v>0</v>
      </c>
      <c r="U611" s="77">
        <v>0</v>
      </c>
      <c r="V611" s="77">
        <v>4</v>
      </c>
      <c r="W611" s="82" t="s">
        <v>1947</v>
      </c>
      <c r="X611" s="77"/>
      <c r="Y611" s="77"/>
      <c r="Z611" s="77"/>
      <c r="AA611" s="77"/>
      <c r="AB611" s="77"/>
      <c r="AC611" s="82" t="s">
        <v>2720</v>
      </c>
      <c r="AD611" s="77" t="s">
        <v>2752</v>
      </c>
      <c r="AE611" s="80" t="str">
        <f>HYPERLINK("https://twitter.com/economedicos/status/1630881916516720641")</f>
        <v>https://twitter.com/economedicos/status/1630881916516720641</v>
      </c>
      <c r="AF611" s="79">
        <v>44986.448182870372</v>
      </c>
      <c r="AG611" s="85">
        <v>44986</v>
      </c>
      <c r="AH611" s="82" t="s">
        <v>3361</v>
      </c>
      <c r="AI611" s="77"/>
      <c r="AJ611" s="77"/>
      <c r="AK611" s="77"/>
      <c r="AL611" s="77"/>
      <c r="AM611" s="77"/>
      <c r="AN611" s="77"/>
      <c r="AO611" s="77"/>
      <c r="AP611" s="77"/>
      <c r="AQ611" s="77"/>
      <c r="AR611" s="77"/>
      <c r="AS611" s="77"/>
      <c r="AT611" s="77"/>
      <c r="AU611" s="77"/>
      <c r="AV611" s="80" t="str">
        <f>HYPERLINK("https://pbs.twimg.com/profile_images/1283576393662636034/EjgsMA_W_normal.jpg")</f>
        <v>https://pbs.twimg.com/profile_images/1283576393662636034/EjgsMA_W_normal.jpg</v>
      </c>
      <c r="AW611" s="82" t="s">
        <v>4944</v>
      </c>
      <c r="AX611" s="82" t="s">
        <v>5396</v>
      </c>
      <c r="AY611" s="82" t="s">
        <v>5605</v>
      </c>
      <c r="AZ611" s="82" t="s">
        <v>5676</v>
      </c>
      <c r="BA611" s="82" t="s">
        <v>5615</v>
      </c>
      <c r="BB611" s="82" t="s">
        <v>5615</v>
      </c>
      <c r="BC611" s="82" t="s">
        <v>5676</v>
      </c>
      <c r="BD611" s="82" t="s">
        <v>5605</v>
      </c>
      <c r="BE611" s="77"/>
      <c r="BF611" s="77"/>
      <c r="BG611" s="77"/>
      <c r="BH611" s="77"/>
      <c r="BI611" s="77"/>
    </row>
    <row r="612" spans="1:61" x14ac:dyDescent="0.25">
      <c r="A612" s="62" t="s">
        <v>475</v>
      </c>
      <c r="B612" s="62" t="s">
        <v>475</v>
      </c>
      <c r="C612" s="63"/>
      <c r="D612" s="64"/>
      <c r="E612" s="65"/>
      <c r="F612" s="66"/>
      <c r="G612" s="63"/>
      <c r="H612" s="67"/>
      <c r="I612" s="68"/>
      <c r="J612" s="68"/>
      <c r="K612" s="32"/>
      <c r="L612" s="75">
        <v>612</v>
      </c>
      <c r="M612" s="75"/>
      <c r="N612" s="70"/>
      <c r="O612" s="77" t="s">
        <v>583</v>
      </c>
      <c r="P612" s="79">
        <v>44950.421493055554</v>
      </c>
      <c r="Q612" s="77" t="s">
        <v>1162</v>
      </c>
      <c r="R612" s="77">
        <v>0</v>
      </c>
      <c r="S612" s="77">
        <v>0</v>
      </c>
      <c r="T612" s="77">
        <v>0</v>
      </c>
      <c r="U612" s="77">
        <v>0</v>
      </c>
      <c r="V612" s="77">
        <v>7</v>
      </c>
      <c r="W612" s="82" t="s">
        <v>1947</v>
      </c>
      <c r="X612" s="77"/>
      <c r="Y612" s="77"/>
      <c r="Z612" s="77"/>
      <c r="AA612" s="77"/>
      <c r="AB612" s="77"/>
      <c r="AC612" s="82" t="s">
        <v>2720</v>
      </c>
      <c r="AD612" s="77" t="s">
        <v>2752</v>
      </c>
      <c r="AE612" s="80" t="str">
        <f>HYPERLINK("https://twitter.com/economedicos/status/1617826279402897410")</f>
        <v>https://twitter.com/economedicos/status/1617826279402897410</v>
      </c>
      <c r="AF612" s="79">
        <v>44950.421493055554</v>
      </c>
      <c r="AG612" s="85">
        <v>44950</v>
      </c>
      <c r="AH612" s="82" t="s">
        <v>3362</v>
      </c>
      <c r="AI612" s="77"/>
      <c r="AJ612" s="77"/>
      <c r="AK612" s="77"/>
      <c r="AL612" s="77"/>
      <c r="AM612" s="77"/>
      <c r="AN612" s="77"/>
      <c r="AO612" s="77"/>
      <c r="AP612" s="77"/>
      <c r="AQ612" s="77"/>
      <c r="AR612" s="77"/>
      <c r="AS612" s="77"/>
      <c r="AT612" s="77"/>
      <c r="AU612" s="77"/>
      <c r="AV612" s="80" t="str">
        <f>HYPERLINK("https://pbs.twimg.com/profile_images/1283576393662636034/EjgsMA_W_normal.jpg")</f>
        <v>https://pbs.twimg.com/profile_images/1283576393662636034/EjgsMA_W_normal.jpg</v>
      </c>
      <c r="AW612" s="82" t="s">
        <v>4945</v>
      </c>
      <c r="AX612" s="82" t="s">
        <v>5397</v>
      </c>
      <c r="AY612" s="82" t="s">
        <v>5605</v>
      </c>
      <c r="AZ612" s="82" t="s">
        <v>5677</v>
      </c>
      <c r="BA612" s="82" t="s">
        <v>5615</v>
      </c>
      <c r="BB612" s="82" t="s">
        <v>5615</v>
      </c>
      <c r="BC612" s="82" t="s">
        <v>5677</v>
      </c>
      <c r="BD612" s="82" t="s">
        <v>5605</v>
      </c>
      <c r="BE612" s="77"/>
      <c r="BF612" s="77"/>
      <c r="BG612" s="77"/>
      <c r="BH612" s="77"/>
      <c r="BI612" s="77"/>
    </row>
    <row r="613" spans="1:61" x14ac:dyDescent="0.25">
      <c r="A613" s="62" t="s">
        <v>475</v>
      </c>
      <c r="B613" s="62" t="s">
        <v>475</v>
      </c>
      <c r="C613" s="63"/>
      <c r="D613" s="64"/>
      <c r="E613" s="65"/>
      <c r="F613" s="66"/>
      <c r="G613" s="63"/>
      <c r="H613" s="67"/>
      <c r="I613" s="68"/>
      <c r="J613" s="68"/>
      <c r="K613" s="32"/>
      <c r="L613" s="75">
        <v>613</v>
      </c>
      <c r="M613" s="75"/>
      <c r="N613" s="70"/>
      <c r="O613" s="77" t="s">
        <v>583</v>
      </c>
      <c r="P613" s="79">
        <v>45086.575972222221</v>
      </c>
      <c r="Q613" s="77" t="s">
        <v>1163</v>
      </c>
      <c r="R613" s="77">
        <v>0</v>
      </c>
      <c r="S613" s="77">
        <v>0</v>
      </c>
      <c r="T613" s="77">
        <v>0</v>
      </c>
      <c r="U613" s="77">
        <v>0</v>
      </c>
      <c r="V613" s="77">
        <v>1</v>
      </c>
      <c r="W613" s="82" t="s">
        <v>1947</v>
      </c>
      <c r="X613" s="77"/>
      <c r="Y613" s="77"/>
      <c r="Z613" s="77"/>
      <c r="AA613" s="77"/>
      <c r="AB613" s="77"/>
      <c r="AC613" s="82" t="s">
        <v>2720</v>
      </c>
      <c r="AD613" s="77" t="s">
        <v>2752</v>
      </c>
      <c r="AE613" s="80" t="str">
        <f>HYPERLINK("https://twitter.com/economedicos/status/1667167009270816769")</f>
        <v>https://twitter.com/economedicos/status/1667167009270816769</v>
      </c>
      <c r="AF613" s="79">
        <v>45086.575972222221</v>
      </c>
      <c r="AG613" s="85">
        <v>45086</v>
      </c>
      <c r="AH613" s="82" t="s">
        <v>3363</v>
      </c>
      <c r="AI613" s="77"/>
      <c r="AJ613" s="77"/>
      <c r="AK613" s="77"/>
      <c r="AL613" s="77"/>
      <c r="AM613" s="77"/>
      <c r="AN613" s="77"/>
      <c r="AO613" s="77"/>
      <c r="AP613" s="77"/>
      <c r="AQ613" s="77"/>
      <c r="AR613" s="77"/>
      <c r="AS613" s="77"/>
      <c r="AT613" s="77"/>
      <c r="AU613" s="77"/>
      <c r="AV613" s="80" t="str">
        <f>HYPERLINK("https://pbs.twimg.com/profile_images/1283576393662636034/EjgsMA_W_normal.jpg")</f>
        <v>https://pbs.twimg.com/profile_images/1283576393662636034/EjgsMA_W_normal.jpg</v>
      </c>
      <c r="AW613" s="82" t="s">
        <v>4946</v>
      </c>
      <c r="AX613" s="82" t="s">
        <v>5398</v>
      </c>
      <c r="AY613" s="82" t="s">
        <v>5605</v>
      </c>
      <c r="AZ613" s="82" t="s">
        <v>5678</v>
      </c>
      <c r="BA613" s="82" t="s">
        <v>5615</v>
      </c>
      <c r="BB613" s="82" t="s">
        <v>5615</v>
      </c>
      <c r="BC613" s="82" t="s">
        <v>5678</v>
      </c>
      <c r="BD613" s="82" t="s">
        <v>5605</v>
      </c>
      <c r="BE613" s="77"/>
      <c r="BF613" s="77"/>
      <c r="BG613" s="77"/>
      <c r="BH613" s="77"/>
      <c r="BI613" s="77"/>
    </row>
    <row r="614" spans="1:61" x14ac:dyDescent="0.25">
      <c r="A614" s="62" t="s">
        <v>475</v>
      </c>
      <c r="B614" s="62" t="s">
        <v>475</v>
      </c>
      <c r="C614" s="63"/>
      <c r="D614" s="64"/>
      <c r="E614" s="65"/>
      <c r="F614" s="66"/>
      <c r="G614" s="63"/>
      <c r="H614" s="67"/>
      <c r="I614" s="68"/>
      <c r="J614" s="68"/>
      <c r="K614" s="32"/>
      <c r="L614" s="75">
        <v>614</v>
      </c>
      <c r="M614" s="75"/>
      <c r="N614" s="70"/>
      <c r="O614" s="77" t="s">
        <v>583</v>
      </c>
      <c r="P614" s="79">
        <v>45068.447893518518</v>
      </c>
      <c r="Q614" s="77" t="s">
        <v>1164</v>
      </c>
      <c r="R614" s="77">
        <v>0</v>
      </c>
      <c r="S614" s="77">
        <v>0</v>
      </c>
      <c r="T614" s="77">
        <v>0</v>
      </c>
      <c r="U614" s="77">
        <v>0</v>
      </c>
      <c r="V614" s="77">
        <v>9</v>
      </c>
      <c r="W614" s="82" t="s">
        <v>1947</v>
      </c>
      <c r="X614" s="77"/>
      <c r="Y614" s="77"/>
      <c r="Z614" s="77"/>
      <c r="AA614" s="77"/>
      <c r="AB614" s="77"/>
      <c r="AC614" s="82" t="s">
        <v>2720</v>
      </c>
      <c r="AD614" s="77" t="s">
        <v>2752</v>
      </c>
      <c r="AE614" s="80" t="str">
        <f>HYPERLINK("https://twitter.com/economedicos/status/1660597615635963904")</f>
        <v>https://twitter.com/economedicos/status/1660597615635963904</v>
      </c>
      <c r="AF614" s="79">
        <v>45068.447893518518</v>
      </c>
      <c r="AG614" s="85">
        <v>45068</v>
      </c>
      <c r="AH614" s="82" t="s">
        <v>3364</v>
      </c>
      <c r="AI614" s="77"/>
      <c r="AJ614" s="77"/>
      <c r="AK614" s="77"/>
      <c r="AL614" s="77"/>
      <c r="AM614" s="77"/>
      <c r="AN614" s="77"/>
      <c r="AO614" s="77"/>
      <c r="AP614" s="77"/>
      <c r="AQ614" s="77"/>
      <c r="AR614" s="77"/>
      <c r="AS614" s="77"/>
      <c r="AT614" s="77"/>
      <c r="AU614" s="77"/>
      <c r="AV614" s="80" t="str">
        <f>HYPERLINK("https://pbs.twimg.com/profile_images/1283576393662636034/EjgsMA_W_normal.jpg")</f>
        <v>https://pbs.twimg.com/profile_images/1283576393662636034/EjgsMA_W_normal.jpg</v>
      </c>
      <c r="AW614" s="82" t="s">
        <v>4947</v>
      </c>
      <c r="AX614" s="82" t="s">
        <v>5399</v>
      </c>
      <c r="AY614" s="82" t="s">
        <v>5605</v>
      </c>
      <c r="AZ614" s="82" t="s">
        <v>5679</v>
      </c>
      <c r="BA614" s="82" t="s">
        <v>5615</v>
      </c>
      <c r="BB614" s="82" t="s">
        <v>5615</v>
      </c>
      <c r="BC614" s="82" t="s">
        <v>5679</v>
      </c>
      <c r="BD614" s="82" t="s">
        <v>5605</v>
      </c>
      <c r="BE614" s="77"/>
      <c r="BF614" s="77"/>
      <c r="BG614" s="77"/>
      <c r="BH614" s="77"/>
      <c r="BI614" s="77"/>
    </row>
    <row r="615" spans="1:61" x14ac:dyDescent="0.25">
      <c r="A615" s="62" t="s">
        <v>475</v>
      </c>
      <c r="B615" s="62" t="s">
        <v>475</v>
      </c>
      <c r="C615" s="63"/>
      <c r="D615" s="64"/>
      <c r="E615" s="65"/>
      <c r="F615" s="66"/>
      <c r="G615" s="63"/>
      <c r="H615" s="67"/>
      <c r="I615" s="68"/>
      <c r="J615" s="68"/>
      <c r="K615" s="32"/>
      <c r="L615" s="75">
        <v>615</v>
      </c>
      <c r="M615" s="75"/>
      <c r="N615" s="70"/>
      <c r="O615" s="77" t="s">
        <v>583</v>
      </c>
      <c r="P615" s="79">
        <v>45064.500648148147</v>
      </c>
      <c r="Q615" s="77" t="s">
        <v>1165</v>
      </c>
      <c r="R615" s="77">
        <v>0</v>
      </c>
      <c r="S615" s="77">
        <v>0</v>
      </c>
      <c r="T615" s="77">
        <v>0</v>
      </c>
      <c r="U615" s="77">
        <v>0</v>
      </c>
      <c r="V615" s="77">
        <v>2</v>
      </c>
      <c r="W615" s="82" t="s">
        <v>1947</v>
      </c>
      <c r="X615" s="77"/>
      <c r="Y615" s="77"/>
      <c r="Z615" s="77"/>
      <c r="AA615" s="77"/>
      <c r="AB615" s="77"/>
      <c r="AC615" s="82" t="s">
        <v>2720</v>
      </c>
      <c r="AD615" s="77" t="s">
        <v>2752</v>
      </c>
      <c r="AE615" s="80" t="str">
        <f>HYPERLINK("https://twitter.com/economedicos/status/1659167181542760451")</f>
        <v>https://twitter.com/economedicos/status/1659167181542760451</v>
      </c>
      <c r="AF615" s="79">
        <v>45064.500648148147</v>
      </c>
      <c r="AG615" s="85">
        <v>45064</v>
      </c>
      <c r="AH615" s="82" t="s">
        <v>3365</v>
      </c>
      <c r="AI615" s="77"/>
      <c r="AJ615" s="77"/>
      <c r="AK615" s="77"/>
      <c r="AL615" s="77"/>
      <c r="AM615" s="77"/>
      <c r="AN615" s="77"/>
      <c r="AO615" s="77"/>
      <c r="AP615" s="77"/>
      <c r="AQ615" s="77"/>
      <c r="AR615" s="77"/>
      <c r="AS615" s="77"/>
      <c r="AT615" s="77"/>
      <c r="AU615" s="77"/>
      <c r="AV615" s="80" t="str">
        <f>HYPERLINK("https://pbs.twimg.com/profile_images/1283576393662636034/EjgsMA_W_normal.jpg")</f>
        <v>https://pbs.twimg.com/profile_images/1283576393662636034/EjgsMA_W_normal.jpg</v>
      </c>
      <c r="AW615" s="82" t="s">
        <v>4948</v>
      </c>
      <c r="AX615" s="82" t="s">
        <v>5400</v>
      </c>
      <c r="AY615" s="82" t="s">
        <v>5605</v>
      </c>
      <c r="AZ615" s="82" t="s">
        <v>5680</v>
      </c>
      <c r="BA615" s="82" t="s">
        <v>5615</v>
      </c>
      <c r="BB615" s="82" t="s">
        <v>5615</v>
      </c>
      <c r="BC615" s="82" t="s">
        <v>5680</v>
      </c>
      <c r="BD615" s="82" t="s">
        <v>5605</v>
      </c>
      <c r="BE615" s="77"/>
      <c r="BF615" s="77"/>
      <c r="BG615" s="77"/>
      <c r="BH615" s="77"/>
      <c r="BI615" s="77"/>
    </row>
    <row r="616" spans="1:61" x14ac:dyDescent="0.25">
      <c r="A616" s="62" t="s">
        <v>475</v>
      </c>
      <c r="B616" s="62" t="s">
        <v>475</v>
      </c>
      <c r="C616" s="63"/>
      <c r="D616" s="64"/>
      <c r="E616" s="65"/>
      <c r="F616" s="66"/>
      <c r="G616" s="63"/>
      <c r="H616" s="67"/>
      <c r="I616" s="68"/>
      <c r="J616" s="68"/>
      <c r="K616" s="32"/>
      <c r="L616" s="75">
        <v>616</v>
      </c>
      <c r="M616" s="75"/>
      <c r="N616" s="70"/>
      <c r="O616" s="77" t="s">
        <v>583</v>
      </c>
      <c r="P616" s="79">
        <v>45050.455891203703</v>
      </c>
      <c r="Q616" s="77" t="s">
        <v>1166</v>
      </c>
      <c r="R616" s="77">
        <v>0</v>
      </c>
      <c r="S616" s="77">
        <v>0</v>
      </c>
      <c r="T616" s="77">
        <v>0</v>
      </c>
      <c r="U616" s="77">
        <v>0</v>
      </c>
      <c r="V616" s="77">
        <v>4</v>
      </c>
      <c r="W616" s="82" t="s">
        <v>1947</v>
      </c>
      <c r="X616" s="77"/>
      <c r="Y616" s="77"/>
      <c r="Z616" s="77"/>
      <c r="AA616" s="77"/>
      <c r="AB616" s="77"/>
      <c r="AC616" s="82" t="s">
        <v>2720</v>
      </c>
      <c r="AD616" s="77" t="s">
        <v>2752</v>
      </c>
      <c r="AE616" s="80" t="str">
        <f>HYPERLINK("https://twitter.com/economedicos/status/1654077532742856705")</f>
        <v>https://twitter.com/economedicos/status/1654077532742856705</v>
      </c>
      <c r="AF616" s="79">
        <v>45050.455891203703</v>
      </c>
      <c r="AG616" s="85">
        <v>45050</v>
      </c>
      <c r="AH616" s="82" t="s">
        <v>3366</v>
      </c>
      <c r="AI616" s="77"/>
      <c r="AJ616" s="77"/>
      <c r="AK616" s="77"/>
      <c r="AL616" s="77"/>
      <c r="AM616" s="77"/>
      <c r="AN616" s="77"/>
      <c r="AO616" s="77"/>
      <c r="AP616" s="77"/>
      <c r="AQ616" s="77"/>
      <c r="AR616" s="77"/>
      <c r="AS616" s="77"/>
      <c r="AT616" s="77"/>
      <c r="AU616" s="77"/>
      <c r="AV616" s="80" t="str">
        <f>HYPERLINK("https://pbs.twimg.com/profile_images/1283576393662636034/EjgsMA_W_normal.jpg")</f>
        <v>https://pbs.twimg.com/profile_images/1283576393662636034/EjgsMA_W_normal.jpg</v>
      </c>
      <c r="AW616" s="82" t="s">
        <v>4949</v>
      </c>
      <c r="AX616" s="82" t="s">
        <v>5401</v>
      </c>
      <c r="AY616" s="82" t="s">
        <v>5605</v>
      </c>
      <c r="AZ616" s="82" t="s">
        <v>5681</v>
      </c>
      <c r="BA616" s="82" t="s">
        <v>5615</v>
      </c>
      <c r="BB616" s="82" t="s">
        <v>5615</v>
      </c>
      <c r="BC616" s="82" t="s">
        <v>5681</v>
      </c>
      <c r="BD616" s="82" t="s">
        <v>5605</v>
      </c>
      <c r="BE616" s="77"/>
      <c r="BF616" s="77"/>
      <c r="BG616" s="77"/>
      <c r="BH616" s="77"/>
      <c r="BI616" s="77"/>
    </row>
    <row r="617" spans="1:61" x14ac:dyDescent="0.25">
      <c r="A617" s="62" t="s">
        <v>475</v>
      </c>
      <c r="B617" s="62" t="s">
        <v>475</v>
      </c>
      <c r="C617" s="63"/>
      <c r="D617" s="64"/>
      <c r="E617" s="65"/>
      <c r="F617" s="66"/>
      <c r="G617" s="63"/>
      <c r="H617" s="67"/>
      <c r="I617" s="68"/>
      <c r="J617" s="68"/>
      <c r="K617" s="32"/>
      <c r="L617" s="75">
        <v>617</v>
      </c>
      <c r="M617" s="75"/>
      <c r="N617" s="70"/>
      <c r="O617" s="77" t="s">
        <v>583</v>
      </c>
      <c r="P617" s="79">
        <v>45049.477592592593</v>
      </c>
      <c r="Q617" s="77" t="s">
        <v>1167</v>
      </c>
      <c r="R617" s="77">
        <v>0</v>
      </c>
      <c r="S617" s="77">
        <v>0</v>
      </c>
      <c r="T617" s="77">
        <v>0</v>
      </c>
      <c r="U617" s="77">
        <v>0</v>
      </c>
      <c r="V617" s="77">
        <v>5</v>
      </c>
      <c r="W617" s="82" t="s">
        <v>1947</v>
      </c>
      <c r="X617" s="77"/>
      <c r="Y617" s="77"/>
      <c r="Z617" s="77"/>
      <c r="AA617" s="77"/>
      <c r="AB617" s="77"/>
      <c r="AC617" s="82" t="s">
        <v>2720</v>
      </c>
      <c r="AD617" s="77" t="s">
        <v>2752</v>
      </c>
      <c r="AE617" s="80" t="str">
        <f>HYPERLINK("https://twitter.com/economedicos/status/1653723009046261763")</f>
        <v>https://twitter.com/economedicos/status/1653723009046261763</v>
      </c>
      <c r="AF617" s="79">
        <v>45049.477592592593</v>
      </c>
      <c r="AG617" s="85">
        <v>45049</v>
      </c>
      <c r="AH617" s="82" t="s">
        <v>3367</v>
      </c>
      <c r="AI617" s="77"/>
      <c r="AJ617" s="77"/>
      <c r="AK617" s="77"/>
      <c r="AL617" s="77"/>
      <c r="AM617" s="77"/>
      <c r="AN617" s="77"/>
      <c r="AO617" s="77"/>
      <c r="AP617" s="77"/>
      <c r="AQ617" s="77"/>
      <c r="AR617" s="77"/>
      <c r="AS617" s="77"/>
      <c r="AT617" s="77"/>
      <c r="AU617" s="77"/>
      <c r="AV617" s="80" t="str">
        <f>HYPERLINK("https://pbs.twimg.com/profile_images/1283576393662636034/EjgsMA_W_normal.jpg")</f>
        <v>https://pbs.twimg.com/profile_images/1283576393662636034/EjgsMA_W_normal.jpg</v>
      </c>
      <c r="AW617" s="82" t="s">
        <v>4950</v>
      </c>
      <c r="AX617" s="82" t="s">
        <v>5402</v>
      </c>
      <c r="AY617" s="82" t="s">
        <v>5605</v>
      </c>
      <c r="AZ617" s="82" t="s">
        <v>5682</v>
      </c>
      <c r="BA617" s="82" t="s">
        <v>5615</v>
      </c>
      <c r="BB617" s="82" t="s">
        <v>5615</v>
      </c>
      <c r="BC617" s="82" t="s">
        <v>5682</v>
      </c>
      <c r="BD617" s="82" t="s">
        <v>5605</v>
      </c>
      <c r="BE617" s="77"/>
      <c r="BF617" s="77"/>
      <c r="BG617" s="77"/>
      <c r="BH617" s="77"/>
      <c r="BI617" s="77"/>
    </row>
    <row r="618" spans="1:61" x14ac:dyDescent="0.25">
      <c r="A618" s="62" t="s">
        <v>475</v>
      </c>
      <c r="B618" s="62" t="s">
        <v>475</v>
      </c>
      <c r="C618" s="63"/>
      <c r="D618" s="64"/>
      <c r="E618" s="65"/>
      <c r="F618" s="66"/>
      <c r="G618" s="63"/>
      <c r="H618" s="67"/>
      <c r="I618" s="68"/>
      <c r="J618" s="68"/>
      <c r="K618" s="32"/>
      <c r="L618" s="75">
        <v>618</v>
      </c>
      <c r="M618" s="75"/>
      <c r="N618" s="70"/>
      <c r="O618" s="77" t="s">
        <v>583</v>
      </c>
      <c r="P618" s="79">
        <v>45048.466053240743</v>
      </c>
      <c r="Q618" s="77" t="s">
        <v>1168</v>
      </c>
      <c r="R618" s="77">
        <v>0</v>
      </c>
      <c r="S618" s="77">
        <v>0</v>
      </c>
      <c r="T618" s="77">
        <v>0</v>
      </c>
      <c r="U618" s="77">
        <v>0</v>
      </c>
      <c r="V618" s="77">
        <v>3</v>
      </c>
      <c r="W618" s="82" t="s">
        <v>1947</v>
      </c>
      <c r="X618" s="77"/>
      <c r="Y618" s="77"/>
      <c r="Z618" s="77"/>
      <c r="AA618" s="77"/>
      <c r="AB618" s="77"/>
      <c r="AC618" s="82" t="s">
        <v>2720</v>
      </c>
      <c r="AD618" s="77" t="s">
        <v>2752</v>
      </c>
      <c r="AE618" s="80" t="str">
        <f>HYPERLINK("https://twitter.com/economedicos/status/1653356439614701568")</f>
        <v>https://twitter.com/economedicos/status/1653356439614701568</v>
      </c>
      <c r="AF618" s="79">
        <v>45048.466053240743</v>
      </c>
      <c r="AG618" s="85">
        <v>45048</v>
      </c>
      <c r="AH618" s="82" t="s">
        <v>3368</v>
      </c>
      <c r="AI618" s="77"/>
      <c r="AJ618" s="77"/>
      <c r="AK618" s="77"/>
      <c r="AL618" s="77"/>
      <c r="AM618" s="77"/>
      <c r="AN618" s="77"/>
      <c r="AO618" s="77"/>
      <c r="AP618" s="77"/>
      <c r="AQ618" s="77"/>
      <c r="AR618" s="77"/>
      <c r="AS618" s="77"/>
      <c r="AT618" s="77"/>
      <c r="AU618" s="77"/>
      <c r="AV618" s="80" t="str">
        <f>HYPERLINK("https://pbs.twimg.com/profile_images/1283576393662636034/EjgsMA_W_normal.jpg")</f>
        <v>https://pbs.twimg.com/profile_images/1283576393662636034/EjgsMA_W_normal.jpg</v>
      </c>
      <c r="AW618" s="82" t="s">
        <v>4951</v>
      </c>
      <c r="AX618" s="82" t="s">
        <v>5403</v>
      </c>
      <c r="AY618" s="82" t="s">
        <v>5605</v>
      </c>
      <c r="AZ618" s="82" t="s">
        <v>5683</v>
      </c>
      <c r="BA618" s="82" t="s">
        <v>5615</v>
      </c>
      <c r="BB618" s="82" t="s">
        <v>5615</v>
      </c>
      <c r="BC618" s="82" t="s">
        <v>5683</v>
      </c>
      <c r="BD618" s="82" t="s">
        <v>5605</v>
      </c>
      <c r="BE618" s="77"/>
      <c r="BF618" s="77"/>
      <c r="BG618" s="77"/>
      <c r="BH618" s="77"/>
      <c r="BI618" s="77"/>
    </row>
    <row r="619" spans="1:61" x14ac:dyDescent="0.25">
      <c r="A619" s="62" t="s">
        <v>475</v>
      </c>
      <c r="B619" s="62" t="s">
        <v>475</v>
      </c>
      <c r="C619" s="63"/>
      <c r="D619" s="64"/>
      <c r="E619" s="65"/>
      <c r="F619" s="66"/>
      <c r="G619" s="63"/>
      <c r="H619" s="67"/>
      <c r="I619" s="68"/>
      <c r="J619" s="68"/>
      <c r="K619" s="32"/>
      <c r="L619" s="75">
        <v>619</v>
      </c>
      <c r="M619" s="75"/>
      <c r="N619" s="70"/>
      <c r="O619" s="77" t="s">
        <v>583</v>
      </c>
      <c r="P619" s="79">
        <v>45036.460312499999</v>
      </c>
      <c r="Q619" s="77" t="s">
        <v>1169</v>
      </c>
      <c r="R619" s="77">
        <v>0</v>
      </c>
      <c r="S619" s="77">
        <v>0</v>
      </c>
      <c r="T619" s="77">
        <v>0</v>
      </c>
      <c r="U619" s="77">
        <v>0</v>
      </c>
      <c r="V619" s="77">
        <v>5</v>
      </c>
      <c r="W619" s="82" t="s">
        <v>1947</v>
      </c>
      <c r="X619" s="77"/>
      <c r="Y619" s="77"/>
      <c r="Z619" s="77"/>
      <c r="AA619" s="77"/>
      <c r="AB619" s="77"/>
      <c r="AC619" s="82" t="s">
        <v>2720</v>
      </c>
      <c r="AD619" s="77" t="s">
        <v>2752</v>
      </c>
      <c r="AE619" s="80" t="str">
        <f>HYPERLINK("https://twitter.com/economedicos/status/1649005705796501504")</f>
        <v>https://twitter.com/economedicos/status/1649005705796501504</v>
      </c>
      <c r="AF619" s="79">
        <v>45036.460312499999</v>
      </c>
      <c r="AG619" s="85">
        <v>45036</v>
      </c>
      <c r="AH619" s="82" t="s">
        <v>3369</v>
      </c>
      <c r="AI619" s="77"/>
      <c r="AJ619" s="77"/>
      <c r="AK619" s="77"/>
      <c r="AL619" s="77"/>
      <c r="AM619" s="77"/>
      <c r="AN619" s="77"/>
      <c r="AO619" s="77"/>
      <c r="AP619" s="77"/>
      <c r="AQ619" s="77"/>
      <c r="AR619" s="77"/>
      <c r="AS619" s="77"/>
      <c r="AT619" s="77"/>
      <c r="AU619" s="77"/>
      <c r="AV619" s="80" t="str">
        <f>HYPERLINK("https://pbs.twimg.com/profile_images/1283576393662636034/EjgsMA_W_normal.jpg")</f>
        <v>https://pbs.twimg.com/profile_images/1283576393662636034/EjgsMA_W_normal.jpg</v>
      </c>
      <c r="AW619" s="82" t="s">
        <v>4952</v>
      </c>
      <c r="AX619" s="82" t="s">
        <v>5404</v>
      </c>
      <c r="AY619" s="82" t="s">
        <v>5605</v>
      </c>
      <c r="AZ619" s="82" t="s">
        <v>5684</v>
      </c>
      <c r="BA619" s="82" t="s">
        <v>5615</v>
      </c>
      <c r="BB619" s="82" t="s">
        <v>5615</v>
      </c>
      <c r="BC619" s="82" t="s">
        <v>5684</v>
      </c>
      <c r="BD619" s="82" t="s">
        <v>5605</v>
      </c>
      <c r="BE619" s="77"/>
      <c r="BF619" s="77"/>
      <c r="BG619" s="77"/>
      <c r="BH619" s="77"/>
      <c r="BI619" s="77"/>
    </row>
    <row r="620" spans="1:61" x14ac:dyDescent="0.25">
      <c r="A620" s="62" t="s">
        <v>475</v>
      </c>
      <c r="B620" s="62" t="s">
        <v>475</v>
      </c>
      <c r="C620" s="63"/>
      <c r="D620" s="64"/>
      <c r="E620" s="65"/>
      <c r="F620" s="66"/>
      <c r="G620" s="63"/>
      <c r="H620" s="67"/>
      <c r="I620" s="68"/>
      <c r="J620" s="68"/>
      <c r="K620" s="32"/>
      <c r="L620" s="75">
        <v>620</v>
      </c>
      <c r="M620" s="75"/>
      <c r="N620" s="70"/>
      <c r="O620" s="77" t="s">
        <v>583</v>
      </c>
      <c r="P620" s="79">
        <v>45034.456307870372</v>
      </c>
      <c r="Q620" s="77" t="s">
        <v>1170</v>
      </c>
      <c r="R620" s="77">
        <v>0</v>
      </c>
      <c r="S620" s="77">
        <v>0</v>
      </c>
      <c r="T620" s="77">
        <v>0</v>
      </c>
      <c r="U620" s="77">
        <v>0</v>
      </c>
      <c r="V620" s="77">
        <v>7</v>
      </c>
      <c r="W620" s="82" t="s">
        <v>1947</v>
      </c>
      <c r="X620" s="77"/>
      <c r="Y620" s="77"/>
      <c r="Z620" s="77"/>
      <c r="AA620" s="77"/>
      <c r="AB620" s="77"/>
      <c r="AC620" s="82" t="s">
        <v>2720</v>
      </c>
      <c r="AD620" s="77" t="s">
        <v>2752</v>
      </c>
      <c r="AE620" s="80" t="str">
        <f>HYPERLINK("https://twitter.com/economedicos/status/1648279477502324737")</f>
        <v>https://twitter.com/economedicos/status/1648279477502324737</v>
      </c>
      <c r="AF620" s="79">
        <v>45034.456307870372</v>
      </c>
      <c r="AG620" s="85">
        <v>45034</v>
      </c>
      <c r="AH620" s="82" t="s">
        <v>3370</v>
      </c>
      <c r="AI620" s="77"/>
      <c r="AJ620" s="77"/>
      <c r="AK620" s="77"/>
      <c r="AL620" s="77"/>
      <c r="AM620" s="77"/>
      <c r="AN620" s="77"/>
      <c r="AO620" s="77"/>
      <c r="AP620" s="77"/>
      <c r="AQ620" s="77"/>
      <c r="AR620" s="77"/>
      <c r="AS620" s="77"/>
      <c r="AT620" s="77"/>
      <c r="AU620" s="77"/>
      <c r="AV620" s="80" t="str">
        <f>HYPERLINK("https://pbs.twimg.com/profile_images/1283576393662636034/EjgsMA_W_normal.jpg")</f>
        <v>https://pbs.twimg.com/profile_images/1283576393662636034/EjgsMA_W_normal.jpg</v>
      </c>
      <c r="AW620" s="82" t="s">
        <v>4953</v>
      </c>
      <c r="AX620" s="82" t="s">
        <v>5405</v>
      </c>
      <c r="AY620" s="82" t="s">
        <v>5605</v>
      </c>
      <c r="AZ620" s="82" t="s">
        <v>5685</v>
      </c>
      <c r="BA620" s="82" t="s">
        <v>5615</v>
      </c>
      <c r="BB620" s="82" t="s">
        <v>5615</v>
      </c>
      <c r="BC620" s="82" t="s">
        <v>5685</v>
      </c>
      <c r="BD620" s="82" t="s">
        <v>5605</v>
      </c>
      <c r="BE620" s="77"/>
      <c r="BF620" s="77"/>
      <c r="BG620" s="77"/>
      <c r="BH620" s="77"/>
      <c r="BI620" s="77"/>
    </row>
    <row r="621" spans="1:61" x14ac:dyDescent="0.25">
      <c r="A621" s="62" t="s">
        <v>475</v>
      </c>
      <c r="B621" s="62" t="s">
        <v>475</v>
      </c>
      <c r="C621" s="63"/>
      <c r="D621" s="64"/>
      <c r="E621" s="65"/>
      <c r="F621" s="66"/>
      <c r="G621" s="63"/>
      <c r="H621" s="67"/>
      <c r="I621" s="68"/>
      <c r="J621" s="68"/>
      <c r="K621" s="32"/>
      <c r="L621" s="75">
        <v>621</v>
      </c>
      <c r="M621" s="75"/>
      <c r="N621" s="70"/>
      <c r="O621" s="77" t="s">
        <v>583</v>
      </c>
      <c r="P621" s="79">
        <v>45033.461053240739</v>
      </c>
      <c r="Q621" s="77" t="s">
        <v>1171</v>
      </c>
      <c r="R621" s="77">
        <v>0</v>
      </c>
      <c r="S621" s="77">
        <v>0</v>
      </c>
      <c r="T621" s="77">
        <v>0</v>
      </c>
      <c r="U621" s="77">
        <v>0</v>
      </c>
      <c r="V621" s="77">
        <v>4</v>
      </c>
      <c r="W621" s="82" t="s">
        <v>1947</v>
      </c>
      <c r="X621" s="77"/>
      <c r="Y621" s="77"/>
      <c r="Z621" s="77"/>
      <c r="AA621" s="77"/>
      <c r="AB621" s="77"/>
      <c r="AC621" s="82" t="s">
        <v>2720</v>
      </c>
      <c r="AD621" s="77" t="s">
        <v>2752</v>
      </c>
      <c r="AE621" s="80" t="str">
        <f>HYPERLINK("https://twitter.com/economedicos/status/1647918808655360001")</f>
        <v>https://twitter.com/economedicos/status/1647918808655360001</v>
      </c>
      <c r="AF621" s="79">
        <v>45033.461053240739</v>
      </c>
      <c r="AG621" s="85">
        <v>45033</v>
      </c>
      <c r="AH621" s="82" t="s">
        <v>3371</v>
      </c>
      <c r="AI621" s="77"/>
      <c r="AJ621" s="77"/>
      <c r="AK621" s="77"/>
      <c r="AL621" s="77"/>
      <c r="AM621" s="77"/>
      <c r="AN621" s="77"/>
      <c r="AO621" s="77"/>
      <c r="AP621" s="77"/>
      <c r="AQ621" s="77"/>
      <c r="AR621" s="77"/>
      <c r="AS621" s="77"/>
      <c r="AT621" s="77"/>
      <c r="AU621" s="77"/>
      <c r="AV621" s="80" t="str">
        <f>HYPERLINK("https://pbs.twimg.com/profile_images/1283576393662636034/EjgsMA_W_normal.jpg")</f>
        <v>https://pbs.twimg.com/profile_images/1283576393662636034/EjgsMA_W_normal.jpg</v>
      </c>
      <c r="AW621" s="82" t="s">
        <v>4954</v>
      </c>
      <c r="AX621" s="82" t="s">
        <v>5406</v>
      </c>
      <c r="AY621" s="82" t="s">
        <v>5605</v>
      </c>
      <c r="AZ621" s="82" t="s">
        <v>5686</v>
      </c>
      <c r="BA621" s="82" t="s">
        <v>5615</v>
      </c>
      <c r="BB621" s="82" t="s">
        <v>5615</v>
      </c>
      <c r="BC621" s="82" t="s">
        <v>5686</v>
      </c>
      <c r="BD621" s="82" t="s">
        <v>5605</v>
      </c>
      <c r="BE621" s="77"/>
      <c r="BF621" s="77"/>
      <c r="BG621" s="77"/>
      <c r="BH621" s="77"/>
      <c r="BI621" s="77"/>
    </row>
    <row r="622" spans="1:61" x14ac:dyDescent="0.25">
      <c r="A622" s="62" t="s">
        <v>475</v>
      </c>
      <c r="B622" s="62" t="s">
        <v>475</v>
      </c>
      <c r="C622" s="63"/>
      <c r="D622" s="64"/>
      <c r="E622" s="65"/>
      <c r="F622" s="66"/>
      <c r="G622" s="63"/>
      <c r="H622" s="67"/>
      <c r="I622" s="68"/>
      <c r="J622" s="68"/>
      <c r="K622" s="32"/>
      <c r="L622" s="75">
        <v>622</v>
      </c>
      <c r="M622" s="75"/>
      <c r="N622" s="70"/>
      <c r="O622" s="77" t="s">
        <v>583</v>
      </c>
      <c r="P622" s="79">
        <v>45015.506284722222</v>
      </c>
      <c r="Q622" s="77" t="s">
        <v>1172</v>
      </c>
      <c r="R622" s="77">
        <v>0</v>
      </c>
      <c r="S622" s="77">
        <v>0</v>
      </c>
      <c r="T622" s="77">
        <v>0</v>
      </c>
      <c r="U622" s="77">
        <v>0</v>
      </c>
      <c r="V622" s="77">
        <v>4</v>
      </c>
      <c r="W622" s="82" t="s">
        <v>1947</v>
      </c>
      <c r="X622" s="77"/>
      <c r="Y622" s="77"/>
      <c r="Z622" s="77"/>
      <c r="AA622" s="77"/>
      <c r="AB622" s="77"/>
      <c r="AC622" s="82" t="s">
        <v>2720</v>
      </c>
      <c r="AD622" s="77" t="s">
        <v>2752</v>
      </c>
      <c r="AE622" s="80" t="str">
        <f>HYPERLINK("https://twitter.com/economedicos/status/1641412220318806016")</f>
        <v>https://twitter.com/economedicos/status/1641412220318806016</v>
      </c>
      <c r="AF622" s="79">
        <v>45015.506284722222</v>
      </c>
      <c r="AG622" s="85">
        <v>45015</v>
      </c>
      <c r="AH622" s="82" t="s">
        <v>3372</v>
      </c>
      <c r="AI622" s="77"/>
      <c r="AJ622" s="77"/>
      <c r="AK622" s="77"/>
      <c r="AL622" s="77"/>
      <c r="AM622" s="77"/>
      <c r="AN622" s="77"/>
      <c r="AO622" s="77"/>
      <c r="AP622" s="77"/>
      <c r="AQ622" s="77"/>
      <c r="AR622" s="77"/>
      <c r="AS622" s="77"/>
      <c r="AT622" s="77"/>
      <c r="AU622" s="77"/>
      <c r="AV622" s="80" t="str">
        <f>HYPERLINK("https://pbs.twimg.com/profile_images/1283576393662636034/EjgsMA_W_normal.jpg")</f>
        <v>https://pbs.twimg.com/profile_images/1283576393662636034/EjgsMA_W_normal.jpg</v>
      </c>
      <c r="AW622" s="82" t="s">
        <v>4955</v>
      </c>
      <c r="AX622" s="82" t="s">
        <v>5407</v>
      </c>
      <c r="AY622" s="82" t="s">
        <v>5605</v>
      </c>
      <c r="AZ622" s="82" t="s">
        <v>5687</v>
      </c>
      <c r="BA622" s="82" t="s">
        <v>5615</v>
      </c>
      <c r="BB622" s="82" t="s">
        <v>5615</v>
      </c>
      <c r="BC622" s="82" t="s">
        <v>5687</v>
      </c>
      <c r="BD622" s="82" t="s">
        <v>5605</v>
      </c>
      <c r="BE622" s="77"/>
      <c r="BF622" s="77"/>
      <c r="BG622" s="77"/>
      <c r="BH622" s="77"/>
      <c r="BI622" s="77"/>
    </row>
    <row r="623" spans="1:61" x14ac:dyDescent="0.25">
      <c r="A623" s="62" t="s">
        <v>475</v>
      </c>
      <c r="B623" s="62" t="s">
        <v>475</v>
      </c>
      <c r="C623" s="63"/>
      <c r="D623" s="64"/>
      <c r="E623" s="65"/>
      <c r="F623" s="66"/>
      <c r="G623" s="63"/>
      <c r="H623" s="67"/>
      <c r="I623" s="68"/>
      <c r="J623" s="68"/>
      <c r="K623" s="32"/>
      <c r="L623" s="75">
        <v>623</v>
      </c>
      <c r="M623" s="75"/>
      <c r="N623" s="70"/>
      <c r="O623" s="77" t="s">
        <v>583</v>
      </c>
      <c r="P623" s="79">
        <v>45014.455868055556</v>
      </c>
      <c r="Q623" s="77" t="s">
        <v>1173</v>
      </c>
      <c r="R623" s="77">
        <v>0</v>
      </c>
      <c r="S623" s="77">
        <v>0</v>
      </c>
      <c r="T623" s="77">
        <v>0</v>
      </c>
      <c r="U623" s="77">
        <v>0</v>
      </c>
      <c r="V623" s="77">
        <v>4</v>
      </c>
      <c r="W623" s="82" t="s">
        <v>1947</v>
      </c>
      <c r="X623" s="77"/>
      <c r="Y623" s="77"/>
      <c r="Z623" s="77"/>
      <c r="AA623" s="77"/>
      <c r="AB623" s="77"/>
      <c r="AC623" s="82" t="s">
        <v>2720</v>
      </c>
      <c r="AD623" s="77" t="s">
        <v>2752</v>
      </c>
      <c r="AE623" s="80" t="str">
        <f>HYPERLINK("https://twitter.com/economedicos/status/1641031561180053504")</f>
        <v>https://twitter.com/economedicos/status/1641031561180053504</v>
      </c>
      <c r="AF623" s="79">
        <v>45014.455868055556</v>
      </c>
      <c r="AG623" s="85">
        <v>45014</v>
      </c>
      <c r="AH623" s="82" t="s">
        <v>3373</v>
      </c>
      <c r="AI623" s="77"/>
      <c r="AJ623" s="77"/>
      <c r="AK623" s="77"/>
      <c r="AL623" s="77"/>
      <c r="AM623" s="77"/>
      <c r="AN623" s="77"/>
      <c r="AO623" s="77"/>
      <c r="AP623" s="77"/>
      <c r="AQ623" s="77"/>
      <c r="AR623" s="77"/>
      <c r="AS623" s="77"/>
      <c r="AT623" s="77"/>
      <c r="AU623" s="77"/>
      <c r="AV623" s="80" t="str">
        <f>HYPERLINK("https://pbs.twimg.com/profile_images/1283576393662636034/EjgsMA_W_normal.jpg")</f>
        <v>https://pbs.twimg.com/profile_images/1283576393662636034/EjgsMA_W_normal.jpg</v>
      </c>
      <c r="AW623" s="82" t="s">
        <v>4956</v>
      </c>
      <c r="AX623" s="82" t="s">
        <v>5408</v>
      </c>
      <c r="AY623" s="82" t="s">
        <v>5605</v>
      </c>
      <c r="AZ623" s="82" t="s">
        <v>5688</v>
      </c>
      <c r="BA623" s="82" t="s">
        <v>5615</v>
      </c>
      <c r="BB623" s="82" t="s">
        <v>5615</v>
      </c>
      <c r="BC623" s="82" t="s">
        <v>5688</v>
      </c>
      <c r="BD623" s="82" t="s">
        <v>5605</v>
      </c>
      <c r="BE623" s="77"/>
      <c r="BF623" s="77"/>
      <c r="BG623" s="77"/>
      <c r="BH623" s="77"/>
      <c r="BI623" s="77"/>
    </row>
    <row r="624" spans="1:61" x14ac:dyDescent="0.25">
      <c r="A624" s="62" t="s">
        <v>475</v>
      </c>
      <c r="B624" s="62" t="s">
        <v>475</v>
      </c>
      <c r="C624" s="63"/>
      <c r="D624" s="64"/>
      <c r="E624" s="65"/>
      <c r="F624" s="66"/>
      <c r="G624" s="63"/>
      <c r="H624" s="67"/>
      <c r="I624" s="68"/>
      <c r="J624" s="68"/>
      <c r="K624" s="32"/>
      <c r="L624" s="75">
        <v>624</v>
      </c>
      <c r="M624" s="75"/>
      <c r="N624" s="70"/>
      <c r="O624" s="77" t="s">
        <v>583</v>
      </c>
      <c r="P624" s="79">
        <v>45013.463888888888</v>
      </c>
      <c r="Q624" s="77" t="s">
        <v>1174</v>
      </c>
      <c r="R624" s="77">
        <v>0</v>
      </c>
      <c r="S624" s="77">
        <v>0</v>
      </c>
      <c r="T624" s="77">
        <v>0</v>
      </c>
      <c r="U624" s="77">
        <v>0</v>
      </c>
      <c r="V624" s="77">
        <v>2</v>
      </c>
      <c r="W624" s="82" t="s">
        <v>1947</v>
      </c>
      <c r="X624" s="77"/>
      <c r="Y624" s="77"/>
      <c r="Z624" s="77"/>
      <c r="AA624" s="77"/>
      <c r="AB624" s="77"/>
      <c r="AC624" s="82" t="s">
        <v>2720</v>
      </c>
      <c r="AD624" s="77" t="s">
        <v>2752</v>
      </c>
      <c r="AE624" s="80" t="str">
        <f>HYPERLINK("https://twitter.com/economedicos/status/1640672078771761152")</f>
        <v>https://twitter.com/economedicos/status/1640672078771761152</v>
      </c>
      <c r="AF624" s="79">
        <v>45013.463888888888</v>
      </c>
      <c r="AG624" s="85">
        <v>45013</v>
      </c>
      <c r="AH624" s="82" t="s">
        <v>3374</v>
      </c>
      <c r="AI624" s="77"/>
      <c r="AJ624" s="77"/>
      <c r="AK624" s="77"/>
      <c r="AL624" s="77"/>
      <c r="AM624" s="77"/>
      <c r="AN624" s="77"/>
      <c r="AO624" s="77"/>
      <c r="AP624" s="77"/>
      <c r="AQ624" s="77"/>
      <c r="AR624" s="77"/>
      <c r="AS624" s="77"/>
      <c r="AT624" s="77"/>
      <c r="AU624" s="77"/>
      <c r="AV624" s="80" t="str">
        <f>HYPERLINK("https://pbs.twimg.com/profile_images/1283576393662636034/EjgsMA_W_normal.jpg")</f>
        <v>https://pbs.twimg.com/profile_images/1283576393662636034/EjgsMA_W_normal.jpg</v>
      </c>
      <c r="AW624" s="82" t="s">
        <v>4957</v>
      </c>
      <c r="AX624" s="82" t="s">
        <v>5409</v>
      </c>
      <c r="AY624" s="82" t="s">
        <v>5605</v>
      </c>
      <c r="AZ624" s="82" t="s">
        <v>5689</v>
      </c>
      <c r="BA624" s="82" t="s">
        <v>5615</v>
      </c>
      <c r="BB624" s="82" t="s">
        <v>5615</v>
      </c>
      <c r="BC624" s="82" t="s">
        <v>5689</v>
      </c>
      <c r="BD624" s="82" t="s">
        <v>5605</v>
      </c>
      <c r="BE624" s="77"/>
      <c r="BF624" s="77"/>
      <c r="BG624" s="77"/>
      <c r="BH624" s="77"/>
      <c r="BI624" s="77"/>
    </row>
    <row r="625" spans="1:61" x14ac:dyDescent="0.25">
      <c r="A625" s="62" t="s">
        <v>475</v>
      </c>
      <c r="B625" s="62" t="s">
        <v>475</v>
      </c>
      <c r="C625" s="63"/>
      <c r="D625" s="64"/>
      <c r="E625" s="65"/>
      <c r="F625" s="66"/>
      <c r="G625" s="63"/>
      <c r="H625" s="67"/>
      <c r="I625" s="68"/>
      <c r="J625" s="68"/>
      <c r="K625" s="32"/>
      <c r="L625" s="75">
        <v>625</v>
      </c>
      <c r="M625" s="75"/>
      <c r="N625" s="70"/>
      <c r="O625" s="77" t="s">
        <v>583</v>
      </c>
      <c r="P625" s="79">
        <v>44971.438391203701</v>
      </c>
      <c r="Q625" s="77" t="s">
        <v>1175</v>
      </c>
      <c r="R625" s="77">
        <v>0</v>
      </c>
      <c r="S625" s="77">
        <v>0</v>
      </c>
      <c r="T625" s="77">
        <v>0</v>
      </c>
      <c r="U625" s="77">
        <v>0</v>
      </c>
      <c r="V625" s="77">
        <v>13</v>
      </c>
      <c r="W625" s="82" t="s">
        <v>1947</v>
      </c>
      <c r="X625" s="77"/>
      <c r="Y625" s="77"/>
      <c r="Z625" s="77"/>
      <c r="AA625" s="77"/>
      <c r="AB625" s="77"/>
      <c r="AC625" s="82" t="s">
        <v>2720</v>
      </c>
      <c r="AD625" s="77" t="s">
        <v>2752</v>
      </c>
      <c r="AE625" s="80" t="str">
        <f>HYPERLINK("https://twitter.com/economedicos/status/1625442547043540993")</f>
        <v>https://twitter.com/economedicos/status/1625442547043540993</v>
      </c>
      <c r="AF625" s="79">
        <v>44971.438391203701</v>
      </c>
      <c r="AG625" s="85">
        <v>44971</v>
      </c>
      <c r="AH625" s="82" t="s">
        <v>3375</v>
      </c>
      <c r="AI625" s="77"/>
      <c r="AJ625" s="77"/>
      <c r="AK625" s="77"/>
      <c r="AL625" s="77"/>
      <c r="AM625" s="77"/>
      <c r="AN625" s="77"/>
      <c r="AO625" s="77"/>
      <c r="AP625" s="77"/>
      <c r="AQ625" s="77"/>
      <c r="AR625" s="77"/>
      <c r="AS625" s="77"/>
      <c r="AT625" s="77"/>
      <c r="AU625" s="77"/>
      <c r="AV625" s="80" t="str">
        <f>HYPERLINK("https://pbs.twimg.com/profile_images/1283576393662636034/EjgsMA_W_normal.jpg")</f>
        <v>https://pbs.twimg.com/profile_images/1283576393662636034/EjgsMA_W_normal.jpg</v>
      </c>
      <c r="AW625" s="82" t="s">
        <v>4958</v>
      </c>
      <c r="AX625" s="82" t="s">
        <v>5410</v>
      </c>
      <c r="AY625" s="82" t="s">
        <v>5605</v>
      </c>
      <c r="AZ625" s="82" t="s">
        <v>5690</v>
      </c>
      <c r="BA625" s="82" t="s">
        <v>5615</v>
      </c>
      <c r="BB625" s="82" t="s">
        <v>5615</v>
      </c>
      <c r="BC625" s="82" t="s">
        <v>5690</v>
      </c>
      <c r="BD625" s="82" t="s">
        <v>5605</v>
      </c>
      <c r="BE625" s="77"/>
      <c r="BF625" s="77"/>
      <c r="BG625" s="77"/>
      <c r="BH625" s="77"/>
      <c r="BI625" s="77"/>
    </row>
    <row r="626" spans="1:61" x14ac:dyDescent="0.25">
      <c r="A626" s="62" t="s">
        <v>475</v>
      </c>
      <c r="B626" s="62" t="s">
        <v>475</v>
      </c>
      <c r="C626" s="63"/>
      <c r="D626" s="64"/>
      <c r="E626" s="65"/>
      <c r="F626" s="66"/>
      <c r="G626" s="63"/>
      <c r="H626" s="67"/>
      <c r="I626" s="68"/>
      <c r="J626" s="68"/>
      <c r="K626" s="32"/>
      <c r="L626" s="75">
        <v>626</v>
      </c>
      <c r="M626" s="75"/>
      <c r="N626" s="70"/>
      <c r="O626" s="77" t="s">
        <v>583</v>
      </c>
      <c r="P626" s="79">
        <v>44967.431851851848</v>
      </c>
      <c r="Q626" s="77" t="s">
        <v>1176</v>
      </c>
      <c r="R626" s="77">
        <v>0</v>
      </c>
      <c r="S626" s="77">
        <v>0</v>
      </c>
      <c r="T626" s="77">
        <v>0</v>
      </c>
      <c r="U626" s="77">
        <v>0</v>
      </c>
      <c r="V626" s="77">
        <v>8</v>
      </c>
      <c r="W626" s="82" t="s">
        <v>1947</v>
      </c>
      <c r="X626" s="77"/>
      <c r="Y626" s="77"/>
      <c r="Z626" s="77"/>
      <c r="AA626" s="77"/>
      <c r="AB626" s="77"/>
      <c r="AC626" s="82" t="s">
        <v>2720</v>
      </c>
      <c r="AD626" s="77" t="s">
        <v>2752</v>
      </c>
      <c r="AE626" s="80" t="str">
        <f>HYPERLINK("https://twitter.com/economedicos/status/1623990628135714816")</f>
        <v>https://twitter.com/economedicos/status/1623990628135714816</v>
      </c>
      <c r="AF626" s="79">
        <v>44967.431851851848</v>
      </c>
      <c r="AG626" s="85">
        <v>44967</v>
      </c>
      <c r="AH626" s="82" t="s">
        <v>3376</v>
      </c>
      <c r="AI626" s="77"/>
      <c r="AJ626" s="77"/>
      <c r="AK626" s="77"/>
      <c r="AL626" s="77"/>
      <c r="AM626" s="77"/>
      <c r="AN626" s="77"/>
      <c r="AO626" s="77"/>
      <c r="AP626" s="77"/>
      <c r="AQ626" s="77"/>
      <c r="AR626" s="77"/>
      <c r="AS626" s="77"/>
      <c r="AT626" s="77"/>
      <c r="AU626" s="77"/>
      <c r="AV626" s="80" t="str">
        <f>HYPERLINK("https://pbs.twimg.com/profile_images/1283576393662636034/EjgsMA_W_normal.jpg")</f>
        <v>https://pbs.twimg.com/profile_images/1283576393662636034/EjgsMA_W_normal.jpg</v>
      </c>
      <c r="AW626" s="82" t="s">
        <v>4959</v>
      </c>
      <c r="AX626" s="82" t="s">
        <v>5411</v>
      </c>
      <c r="AY626" s="82" t="s">
        <v>5605</v>
      </c>
      <c r="AZ626" s="82" t="s">
        <v>5691</v>
      </c>
      <c r="BA626" s="82" t="s">
        <v>5615</v>
      </c>
      <c r="BB626" s="82" t="s">
        <v>5615</v>
      </c>
      <c r="BC626" s="82" t="s">
        <v>5691</v>
      </c>
      <c r="BD626" s="82" t="s">
        <v>5605</v>
      </c>
      <c r="BE626" s="77"/>
      <c r="BF626" s="77"/>
      <c r="BG626" s="77"/>
      <c r="BH626" s="77"/>
      <c r="BI626" s="77"/>
    </row>
    <row r="627" spans="1:61" x14ac:dyDescent="0.25">
      <c r="A627" s="62" t="s">
        <v>475</v>
      </c>
      <c r="B627" s="62" t="s">
        <v>475</v>
      </c>
      <c r="C627" s="63"/>
      <c r="D627" s="64"/>
      <c r="E627" s="65"/>
      <c r="F627" s="66"/>
      <c r="G627" s="63"/>
      <c r="H627" s="67"/>
      <c r="I627" s="68"/>
      <c r="J627" s="68"/>
      <c r="K627" s="32"/>
      <c r="L627" s="75">
        <v>627</v>
      </c>
      <c r="M627" s="75"/>
      <c r="N627" s="70"/>
      <c r="O627" s="77" t="s">
        <v>583</v>
      </c>
      <c r="P627" s="79">
        <v>44966.442962962959</v>
      </c>
      <c r="Q627" s="77" t="s">
        <v>1177</v>
      </c>
      <c r="R627" s="77">
        <v>0</v>
      </c>
      <c r="S627" s="77">
        <v>0</v>
      </c>
      <c r="T627" s="77">
        <v>0</v>
      </c>
      <c r="U627" s="77">
        <v>0</v>
      </c>
      <c r="V627" s="77">
        <v>5</v>
      </c>
      <c r="W627" s="82" t="s">
        <v>1947</v>
      </c>
      <c r="X627" s="77"/>
      <c r="Y627" s="77"/>
      <c r="Z627" s="77"/>
      <c r="AA627" s="77"/>
      <c r="AB627" s="77"/>
      <c r="AC627" s="82" t="s">
        <v>2720</v>
      </c>
      <c r="AD627" s="77" t="s">
        <v>2752</v>
      </c>
      <c r="AE627" s="80" t="str">
        <f>HYPERLINK("https://twitter.com/economedicos/status/1623632264679546885")</f>
        <v>https://twitter.com/economedicos/status/1623632264679546885</v>
      </c>
      <c r="AF627" s="79">
        <v>44966.442962962959</v>
      </c>
      <c r="AG627" s="85">
        <v>44966</v>
      </c>
      <c r="AH627" s="82" t="s">
        <v>3377</v>
      </c>
      <c r="AI627" s="77"/>
      <c r="AJ627" s="77"/>
      <c r="AK627" s="77"/>
      <c r="AL627" s="77"/>
      <c r="AM627" s="77"/>
      <c r="AN627" s="77"/>
      <c r="AO627" s="77"/>
      <c r="AP627" s="77"/>
      <c r="AQ627" s="77"/>
      <c r="AR627" s="77"/>
      <c r="AS627" s="77"/>
      <c r="AT627" s="77"/>
      <c r="AU627" s="77"/>
      <c r="AV627" s="80" t="str">
        <f>HYPERLINK("https://pbs.twimg.com/profile_images/1283576393662636034/EjgsMA_W_normal.jpg")</f>
        <v>https://pbs.twimg.com/profile_images/1283576393662636034/EjgsMA_W_normal.jpg</v>
      </c>
      <c r="AW627" s="82" t="s">
        <v>4960</v>
      </c>
      <c r="AX627" s="82" t="s">
        <v>5412</v>
      </c>
      <c r="AY627" s="82" t="s">
        <v>5605</v>
      </c>
      <c r="AZ627" s="82" t="s">
        <v>5692</v>
      </c>
      <c r="BA627" s="82" t="s">
        <v>5615</v>
      </c>
      <c r="BB627" s="82" t="s">
        <v>5615</v>
      </c>
      <c r="BC627" s="82" t="s">
        <v>5692</v>
      </c>
      <c r="BD627" s="82" t="s">
        <v>5605</v>
      </c>
      <c r="BE627" s="77"/>
      <c r="BF627" s="77"/>
      <c r="BG627" s="77"/>
      <c r="BH627" s="77"/>
      <c r="BI627" s="77"/>
    </row>
    <row r="628" spans="1:61" x14ac:dyDescent="0.25">
      <c r="A628" s="62" t="s">
        <v>475</v>
      </c>
      <c r="B628" s="62" t="s">
        <v>475</v>
      </c>
      <c r="C628" s="63"/>
      <c r="D628" s="64"/>
      <c r="E628" s="65"/>
      <c r="F628" s="66"/>
      <c r="G628" s="63"/>
      <c r="H628" s="67"/>
      <c r="I628" s="68"/>
      <c r="J628" s="68"/>
      <c r="K628" s="32"/>
      <c r="L628" s="75">
        <v>628</v>
      </c>
      <c r="M628" s="75"/>
      <c r="N628" s="70"/>
      <c r="O628" s="77" t="s">
        <v>583</v>
      </c>
      <c r="P628" s="79">
        <v>44939.466192129628</v>
      </c>
      <c r="Q628" s="77" t="s">
        <v>1178</v>
      </c>
      <c r="R628" s="77">
        <v>0</v>
      </c>
      <c r="S628" s="77">
        <v>0</v>
      </c>
      <c r="T628" s="77">
        <v>0</v>
      </c>
      <c r="U628" s="77">
        <v>0</v>
      </c>
      <c r="V628" s="77">
        <v>26</v>
      </c>
      <c r="W628" s="82" t="s">
        <v>1947</v>
      </c>
      <c r="X628" s="77"/>
      <c r="Y628" s="77"/>
      <c r="Z628" s="77"/>
      <c r="AA628" s="77"/>
      <c r="AB628" s="77"/>
      <c r="AC628" s="82" t="s">
        <v>2720</v>
      </c>
      <c r="AD628" s="77" t="s">
        <v>2752</v>
      </c>
      <c r="AE628" s="80" t="str">
        <f>HYPERLINK("https://twitter.com/economedicos/status/1613856211224461313")</f>
        <v>https://twitter.com/economedicos/status/1613856211224461313</v>
      </c>
      <c r="AF628" s="79">
        <v>44939.466192129628</v>
      </c>
      <c r="AG628" s="85">
        <v>44939</v>
      </c>
      <c r="AH628" s="82" t="s">
        <v>3378</v>
      </c>
      <c r="AI628" s="77"/>
      <c r="AJ628" s="77"/>
      <c r="AK628" s="77"/>
      <c r="AL628" s="77"/>
      <c r="AM628" s="77"/>
      <c r="AN628" s="77"/>
      <c r="AO628" s="77"/>
      <c r="AP628" s="77"/>
      <c r="AQ628" s="77"/>
      <c r="AR628" s="77"/>
      <c r="AS628" s="77"/>
      <c r="AT628" s="77"/>
      <c r="AU628" s="77"/>
      <c r="AV628" s="80" t="str">
        <f>HYPERLINK("https://pbs.twimg.com/profile_images/1283576393662636034/EjgsMA_W_normal.jpg")</f>
        <v>https://pbs.twimg.com/profile_images/1283576393662636034/EjgsMA_W_normal.jpg</v>
      </c>
      <c r="AW628" s="82" t="s">
        <v>4961</v>
      </c>
      <c r="AX628" s="82" t="s">
        <v>5413</v>
      </c>
      <c r="AY628" s="82" t="s">
        <v>5605</v>
      </c>
      <c r="AZ628" s="82" t="s">
        <v>5693</v>
      </c>
      <c r="BA628" s="82" t="s">
        <v>5615</v>
      </c>
      <c r="BB628" s="82" t="s">
        <v>5615</v>
      </c>
      <c r="BC628" s="82" t="s">
        <v>5693</v>
      </c>
      <c r="BD628" s="82" t="s">
        <v>5605</v>
      </c>
      <c r="BE628" s="77"/>
      <c r="BF628" s="77"/>
      <c r="BG628" s="77"/>
      <c r="BH628" s="77"/>
      <c r="BI628" s="77"/>
    </row>
    <row r="629" spans="1:61" x14ac:dyDescent="0.25">
      <c r="A629" s="62" t="s">
        <v>475</v>
      </c>
      <c r="B629" s="62" t="s">
        <v>475</v>
      </c>
      <c r="C629" s="63"/>
      <c r="D629" s="64"/>
      <c r="E629" s="65"/>
      <c r="F629" s="66"/>
      <c r="G629" s="63"/>
      <c r="H629" s="67"/>
      <c r="I629" s="68"/>
      <c r="J629" s="68"/>
      <c r="K629" s="32"/>
      <c r="L629" s="75">
        <v>629</v>
      </c>
      <c r="M629" s="75"/>
      <c r="N629" s="70"/>
      <c r="O629" s="77" t="s">
        <v>583</v>
      </c>
      <c r="P629" s="79">
        <v>44938.426111111112</v>
      </c>
      <c r="Q629" s="77" t="s">
        <v>1179</v>
      </c>
      <c r="R629" s="77">
        <v>0</v>
      </c>
      <c r="S629" s="77">
        <v>0</v>
      </c>
      <c r="T629" s="77">
        <v>0</v>
      </c>
      <c r="U629" s="77">
        <v>0</v>
      </c>
      <c r="V629" s="77">
        <v>28</v>
      </c>
      <c r="W629" s="82" t="s">
        <v>1947</v>
      </c>
      <c r="X629" s="77"/>
      <c r="Y629" s="77"/>
      <c r="Z629" s="77"/>
      <c r="AA629" s="77"/>
      <c r="AB629" s="77"/>
      <c r="AC629" s="82" t="s">
        <v>2720</v>
      </c>
      <c r="AD629" s="77" t="s">
        <v>2752</v>
      </c>
      <c r="AE629" s="80" t="str">
        <f>HYPERLINK("https://twitter.com/economedicos/status/1613479296827260929")</f>
        <v>https://twitter.com/economedicos/status/1613479296827260929</v>
      </c>
      <c r="AF629" s="79">
        <v>44938.426111111112</v>
      </c>
      <c r="AG629" s="85">
        <v>44938</v>
      </c>
      <c r="AH629" s="82" t="s">
        <v>3379</v>
      </c>
      <c r="AI629" s="77"/>
      <c r="AJ629" s="77"/>
      <c r="AK629" s="77"/>
      <c r="AL629" s="77"/>
      <c r="AM629" s="77"/>
      <c r="AN629" s="77"/>
      <c r="AO629" s="77"/>
      <c r="AP629" s="77"/>
      <c r="AQ629" s="77"/>
      <c r="AR629" s="77"/>
      <c r="AS629" s="77"/>
      <c r="AT629" s="77"/>
      <c r="AU629" s="77"/>
      <c r="AV629" s="80" t="str">
        <f>HYPERLINK("https://pbs.twimg.com/profile_images/1283576393662636034/EjgsMA_W_normal.jpg")</f>
        <v>https://pbs.twimg.com/profile_images/1283576393662636034/EjgsMA_W_normal.jpg</v>
      </c>
      <c r="AW629" s="82" t="s">
        <v>4962</v>
      </c>
      <c r="AX629" s="82" t="s">
        <v>5414</v>
      </c>
      <c r="AY629" s="82" t="s">
        <v>5605</v>
      </c>
      <c r="AZ629" s="82" t="s">
        <v>5694</v>
      </c>
      <c r="BA629" s="82" t="s">
        <v>5615</v>
      </c>
      <c r="BB629" s="82" t="s">
        <v>5615</v>
      </c>
      <c r="BC629" s="82" t="s">
        <v>5694</v>
      </c>
      <c r="BD629" s="82" t="s">
        <v>5605</v>
      </c>
      <c r="BE629" s="77"/>
      <c r="BF629" s="77"/>
      <c r="BG629" s="77"/>
      <c r="BH629" s="77"/>
      <c r="BI629" s="77"/>
    </row>
    <row r="630" spans="1:61" x14ac:dyDescent="0.25">
      <c r="A630" s="62" t="s">
        <v>475</v>
      </c>
      <c r="B630" s="62" t="s">
        <v>475</v>
      </c>
      <c r="C630" s="63"/>
      <c r="D630" s="64"/>
      <c r="E630" s="65"/>
      <c r="F630" s="66"/>
      <c r="G630" s="63"/>
      <c r="H630" s="67"/>
      <c r="I630" s="68"/>
      <c r="J630" s="68"/>
      <c r="K630" s="32"/>
      <c r="L630" s="75">
        <v>630</v>
      </c>
      <c r="M630" s="75"/>
      <c r="N630" s="70"/>
      <c r="O630" s="77" t="s">
        <v>583</v>
      </c>
      <c r="P630" s="79">
        <v>44937.468819444446</v>
      </c>
      <c r="Q630" s="77" t="s">
        <v>1180</v>
      </c>
      <c r="R630" s="77">
        <v>0</v>
      </c>
      <c r="S630" s="77">
        <v>0</v>
      </c>
      <c r="T630" s="77">
        <v>0</v>
      </c>
      <c r="U630" s="77">
        <v>0</v>
      </c>
      <c r="V630" s="77">
        <v>17</v>
      </c>
      <c r="W630" s="82" t="s">
        <v>1947</v>
      </c>
      <c r="X630" s="77"/>
      <c r="Y630" s="77"/>
      <c r="Z630" s="77"/>
      <c r="AA630" s="77"/>
      <c r="AB630" s="77"/>
      <c r="AC630" s="82" t="s">
        <v>2720</v>
      </c>
      <c r="AD630" s="77" t="s">
        <v>2752</v>
      </c>
      <c r="AE630" s="80" t="str">
        <f>HYPERLINK("https://twitter.com/economedicos/status/1613132389433200641")</f>
        <v>https://twitter.com/economedicos/status/1613132389433200641</v>
      </c>
      <c r="AF630" s="79">
        <v>44937.468819444446</v>
      </c>
      <c r="AG630" s="85">
        <v>44937</v>
      </c>
      <c r="AH630" s="82" t="s">
        <v>3380</v>
      </c>
      <c r="AI630" s="77"/>
      <c r="AJ630" s="77"/>
      <c r="AK630" s="77"/>
      <c r="AL630" s="77"/>
      <c r="AM630" s="77"/>
      <c r="AN630" s="77"/>
      <c r="AO630" s="77"/>
      <c r="AP630" s="77"/>
      <c r="AQ630" s="77"/>
      <c r="AR630" s="77"/>
      <c r="AS630" s="77"/>
      <c r="AT630" s="77"/>
      <c r="AU630" s="77"/>
      <c r="AV630" s="80" t="str">
        <f>HYPERLINK("https://pbs.twimg.com/profile_images/1283576393662636034/EjgsMA_W_normal.jpg")</f>
        <v>https://pbs.twimg.com/profile_images/1283576393662636034/EjgsMA_W_normal.jpg</v>
      </c>
      <c r="AW630" s="82" t="s">
        <v>4963</v>
      </c>
      <c r="AX630" s="82" t="s">
        <v>5415</v>
      </c>
      <c r="AY630" s="82" t="s">
        <v>5605</v>
      </c>
      <c r="AZ630" s="82" t="s">
        <v>5695</v>
      </c>
      <c r="BA630" s="82" t="s">
        <v>5615</v>
      </c>
      <c r="BB630" s="82" t="s">
        <v>5615</v>
      </c>
      <c r="BC630" s="82" t="s">
        <v>5695</v>
      </c>
      <c r="BD630" s="82" t="s">
        <v>5605</v>
      </c>
      <c r="BE630" s="77"/>
      <c r="BF630" s="77"/>
      <c r="BG630" s="77"/>
      <c r="BH630" s="77"/>
      <c r="BI630" s="77"/>
    </row>
    <row r="631" spans="1:61" x14ac:dyDescent="0.25">
      <c r="A631" s="62" t="s">
        <v>475</v>
      </c>
      <c r="B631" s="62" t="s">
        <v>475</v>
      </c>
      <c r="C631" s="63"/>
      <c r="D631" s="64"/>
      <c r="E631" s="65"/>
      <c r="F631" s="66"/>
      <c r="G631" s="63"/>
      <c r="H631" s="67"/>
      <c r="I631" s="68"/>
      <c r="J631" s="68"/>
      <c r="K631" s="32"/>
      <c r="L631" s="75">
        <v>631</v>
      </c>
      <c r="M631" s="75"/>
      <c r="N631" s="70"/>
      <c r="O631" s="77" t="s">
        <v>583</v>
      </c>
      <c r="P631" s="79">
        <v>44935.509340277778</v>
      </c>
      <c r="Q631" s="77" t="s">
        <v>1181</v>
      </c>
      <c r="R631" s="77">
        <v>0</v>
      </c>
      <c r="S631" s="77">
        <v>0</v>
      </c>
      <c r="T631" s="77">
        <v>0</v>
      </c>
      <c r="U631" s="77">
        <v>0</v>
      </c>
      <c r="V631" s="77">
        <v>58</v>
      </c>
      <c r="W631" s="82" t="s">
        <v>1947</v>
      </c>
      <c r="X631" s="77"/>
      <c r="Y631" s="77"/>
      <c r="Z631" s="77"/>
      <c r="AA631" s="77"/>
      <c r="AB631" s="77"/>
      <c r="AC631" s="82" t="s">
        <v>2720</v>
      </c>
      <c r="AD631" s="77" t="s">
        <v>2752</v>
      </c>
      <c r="AE631" s="80" t="str">
        <f>HYPERLINK("https://twitter.com/economedicos/status/1612422296400023552")</f>
        <v>https://twitter.com/economedicos/status/1612422296400023552</v>
      </c>
      <c r="AF631" s="79">
        <v>44935.509340277778</v>
      </c>
      <c r="AG631" s="85">
        <v>44935</v>
      </c>
      <c r="AH631" s="82" t="s">
        <v>3381</v>
      </c>
      <c r="AI631" s="77"/>
      <c r="AJ631" s="77"/>
      <c r="AK631" s="77"/>
      <c r="AL631" s="77"/>
      <c r="AM631" s="77"/>
      <c r="AN631" s="77"/>
      <c r="AO631" s="77"/>
      <c r="AP631" s="77"/>
      <c r="AQ631" s="77"/>
      <c r="AR631" s="77"/>
      <c r="AS631" s="77"/>
      <c r="AT631" s="77"/>
      <c r="AU631" s="77"/>
      <c r="AV631" s="80" t="str">
        <f>HYPERLINK("https://pbs.twimg.com/profile_images/1283576393662636034/EjgsMA_W_normal.jpg")</f>
        <v>https://pbs.twimg.com/profile_images/1283576393662636034/EjgsMA_W_normal.jpg</v>
      </c>
      <c r="AW631" s="82" t="s">
        <v>4964</v>
      </c>
      <c r="AX631" s="82" t="s">
        <v>5416</v>
      </c>
      <c r="AY631" s="82" t="s">
        <v>5605</v>
      </c>
      <c r="AZ631" s="82" t="s">
        <v>5696</v>
      </c>
      <c r="BA631" s="82" t="s">
        <v>5615</v>
      </c>
      <c r="BB631" s="82" t="s">
        <v>5615</v>
      </c>
      <c r="BC631" s="82" t="s">
        <v>5696</v>
      </c>
      <c r="BD631" s="82" t="s">
        <v>5605</v>
      </c>
      <c r="BE631" s="77"/>
      <c r="BF631" s="77"/>
      <c r="BG631" s="77"/>
      <c r="BH631" s="77"/>
      <c r="BI631" s="77"/>
    </row>
    <row r="632" spans="1:61" x14ac:dyDescent="0.25">
      <c r="A632" s="62" t="s">
        <v>475</v>
      </c>
      <c r="B632" s="62" t="s">
        <v>475</v>
      </c>
      <c r="C632" s="63"/>
      <c r="D632" s="64"/>
      <c r="E632" s="65"/>
      <c r="F632" s="66"/>
      <c r="G632" s="63"/>
      <c r="H632" s="67"/>
      <c r="I632" s="68"/>
      <c r="J632" s="68"/>
      <c r="K632" s="32"/>
      <c r="L632" s="75">
        <v>632</v>
      </c>
      <c r="M632" s="75"/>
      <c r="N632" s="70"/>
      <c r="O632" s="77" t="s">
        <v>583</v>
      </c>
      <c r="P632" s="79">
        <v>44932.433171296296</v>
      </c>
      <c r="Q632" s="77" t="s">
        <v>1182</v>
      </c>
      <c r="R632" s="77">
        <v>0</v>
      </c>
      <c r="S632" s="77">
        <v>0</v>
      </c>
      <c r="T632" s="77">
        <v>0</v>
      </c>
      <c r="U632" s="77">
        <v>0</v>
      </c>
      <c r="V632" s="77">
        <v>5</v>
      </c>
      <c r="W632" s="82" t="s">
        <v>1947</v>
      </c>
      <c r="X632" s="77"/>
      <c r="Y632" s="77"/>
      <c r="Z632" s="77"/>
      <c r="AA632" s="77"/>
      <c r="AB632" s="77"/>
      <c r="AC632" s="82" t="s">
        <v>2720</v>
      </c>
      <c r="AD632" s="77" t="s">
        <v>2752</v>
      </c>
      <c r="AE632" s="80" t="str">
        <f>HYPERLINK("https://twitter.com/economedicos/status/1611307531908923392")</f>
        <v>https://twitter.com/economedicos/status/1611307531908923392</v>
      </c>
      <c r="AF632" s="79">
        <v>44932.433171296296</v>
      </c>
      <c r="AG632" s="85">
        <v>44932</v>
      </c>
      <c r="AH632" s="82" t="s">
        <v>3382</v>
      </c>
      <c r="AI632" s="77"/>
      <c r="AJ632" s="77"/>
      <c r="AK632" s="77"/>
      <c r="AL632" s="77"/>
      <c r="AM632" s="77"/>
      <c r="AN632" s="77"/>
      <c r="AO632" s="77"/>
      <c r="AP632" s="77"/>
      <c r="AQ632" s="77"/>
      <c r="AR632" s="77"/>
      <c r="AS632" s="77"/>
      <c r="AT632" s="77"/>
      <c r="AU632" s="77"/>
      <c r="AV632" s="80" t="str">
        <f>HYPERLINK("https://pbs.twimg.com/profile_images/1283576393662636034/EjgsMA_W_normal.jpg")</f>
        <v>https://pbs.twimg.com/profile_images/1283576393662636034/EjgsMA_W_normal.jpg</v>
      </c>
      <c r="AW632" s="82" t="s">
        <v>4965</v>
      </c>
      <c r="AX632" s="82" t="s">
        <v>5417</v>
      </c>
      <c r="AY632" s="82" t="s">
        <v>5605</v>
      </c>
      <c r="AZ632" s="82" t="s">
        <v>5697</v>
      </c>
      <c r="BA632" s="82" t="s">
        <v>5615</v>
      </c>
      <c r="BB632" s="82" t="s">
        <v>5615</v>
      </c>
      <c r="BC632" s="82" t="s">
        <v>5697</v>
      </c>
      <c r="BD632" s="82" t="s">
        <v>5605</v>
      </c>
      <c r="BE632" s="77"/>
      <c r="BF632" s="77"/>
      <c r="BG632" s="77"/>
      <c r="BH632" s="77"/>
      <c r="BI632" s="77"/>
    </row>
    <row r="633" spans="1:61" x14ac:dyDescent="0.25">
      <c r="A633" s="62" t="s">
        <v>475</v>
      </c>
      <c r="B633" s="62" t="s">
        <v>475</v>
      </c>
      <c r="C633" s="63"/>
      <c r="D633" s="64"/>
      <c r="E633" s="65"/>
      <c r="F633" s="66"/>
      <c r="G633" s="63"/>
      <c r="H633" s="67"/>
      <c r="I633" s="68"/>
      <c r="J633" s="68"/>
      <c r="K633" s="32"/>
      <c r="L633" s="75">
        <v>633</v>
      </c>
      <c r="M633" s="75"/>
      <c r="N633" s="70"/>
      <c r="O633" s="77" t="s">
        <v>583</v>
      </c>
      <c r="P633" s="79">
        <v>44930.443692129629</v>
      </c>
      <c r="Q633" s="77" t="s">
        <v>1183</v>
      </c>
      <c r="R633" s="77">
        <v>0</v>
      </c>
      <c r="S633" s="77">
        <v>0</v>
      </c>
      <c r="T633" s="77">
        <v>0</v>
      </c>
      <c r="U633" s="77">
        <v>0</v>
      </c>
      <c r="V633" s="77">
        <v>8</v>
      </c>
      <c r="W633" s="82" t="s">
        <v>1948</v>
      </c>
      <c r="X633" s="77"/>
      <c r="Y633" s="77"/>
      <c r="Z633" s="77"/>
      <c r="AA633" s="77"/>
      <c r="AB633" s="77"/>
      <c r="AC633" s="82" t="s">
        <v>2720</v>
      </c>
      <c r="AD633" s="77" t="s">
        <v>2752</v>
      </c>
      <c r="AE633" s="80" t="str">
        <f>HYPERLINK("https://twitter.com/economedicos/status/1610586568615464960")</f>
        <v>https://twitter.com/economedicos/status/1610586568615464960</v>
      </c>
      <c r="AF633" s="79">
        <v>44930.443692129629</v>
      </c>
      <c r="AG633" s="85">
        <v>44930</v>
      </c>
      <c r="AH633" s="82" t="s">
        <v>3383</v>
      </c>
      <c r="AI633" s="77"/>
      <c r="AJ633" s="77"/>
      <c r="AK633" s="77"/>
      <c r="AL633" s="77"/>
      <c r="AM633" s="77"/>
      <c r="AN633" s="77"/>
      <c r="AO633" s="77"/>
      <c r="AP633" s="77"/>
      <c r="AQ633" s="77"/>
      <c r="AR633" s="77"/>
      <c r="AS633" s="77"/>
      <c r="AT633" s="77"/>
      <c r="AU633" s="77"/>
      <c r="AV633" s="80" t="str">
        <f>HYPERLINK("https://pbs.twimg.com/profile_images/1283576393662636034/EjgsMA_W_normal.jpg")</f>
        <v>https://pbs.twimg.com/profile_images/1283576393662636034/EjgsMA_W_normal.jpg</v>
      </c>
      <c r="AW633" s="82" t="s">
        <v>4966</v>
      </c>
      <c r="AX633" s="82" t="s">
        <v>5418</v>
      </c>
      <c r="AY633" s="82" t="s">
        <v>5605</v>
      </c>
      <c r="AZ633" s="82" t="s">
        <v>5698</v>
      </c>
      <c r="BA633" s="82" t="s">
        <v>5615</v>
      </c>
      <c r="BB633" s="82" t="s">
        <v>5615</v>
      </c>
      <c r="BC633" s="82" t="s">
        <v>5698</v>
      </c>
      <c r="BD633" s="82" t="s">
        <v>5605</v>
      </c>
      <c r="BE633" s="77"/>
      <c r="BF633" s="77"/>
      <c r="BG633" s="77"/>
      <c r="BH633" s="77"/>
      <c r="BI633" s="77"/>
    </row>
    <row r="634" spans="1:61" x14ac:dyDescent="0.25">
      <c r="A634" s="62" t="s">
        <v>475</v>
      </c>
      <c r="B634" s="62" t="s">
        <v>475</v>
      </c>
      <c r="C634" s="63"/>
      <c r="D634" s="64"/>
      <c r="E634" s="65"/>
      <c r="F634" s="66"/>
      <c r="G634" s="63"/>
      <c r="H634" s="67"/>
      <c r="I634" s="68"/>
      <c r="J634" s="68"/>
      <c r="K634" s="32"/>
      <c r="L634" s="75">
        <v>634</v>
      </c>
      <c r="M634" s="75"/>
      <c r="N634" s="70"/>
      <c r="O634" s="77" t="s">
        <v>583</v>
      </c>
      <c r="P634" s="79">
        <v>44929.519560185188</v>
      </c>
      <c r="Q634" s="77" t="s">
        <v>1184</v>
      </c>
      <c r="R634" s="77">
        <v>0</v>
      </c>
      <c r="S634" s="77">
        <v>0</v>
      </c>
      <c r="T634" s="77">
        <v>0</v>
      </c>
      <c r="U634" s="77">
        <v>0</v>
      </c>
      <c r="V634" s="77">
        <v>7</v>
      </c>
      <c r="W634" s="82" t="s">
        <v>1947</v>
      </c>
      <c r="X634" s="77"/>
      <c r="Y634" s="77"/>
      <c r="Z634" s="77"/>
      <c r="AA634" s="77"/>
      <c r="AB634" s="77"/>
      <c r="AC634" s="82" t="s">
        <v>2720</v>
      </c>
      <c r="AD634" s="77" t="s">
        <v>2752</v>
      </c>
      <c r="AE634" s="80" t="str">
        <f>HYPERLINK("https://twitter.com/economedicos/status/1610251671480815617")</f>
        <v>https://twitter.com/economedicos/status/1610251671480815617</v>
      </c>
      <c r="AF634" s="79">
        <v>44929.519560185188</v>
      </c>
      <c r="AG634" s="85">
        <v>44929</v>
      </c>
      <c r="AH634" s="82" t="s">
        <v>3384</v>
      </c>
      <c r="AI634" s="77"/>
      <c r="AJ634" s="77"/>
      <c r="AK634" s="77"/>
      <c r="AL634" s="77"/>
      <c r="AM634" s="77"/>
      <c r="AN634" s="77"/>
      <c r="AO634" s="77"/>
      <c r="AP634" s="77"/>
      <c r="AQ634" s="77"/>
      <c r="AR634" s="77"/>
      <c r="AS634" s="77"/>
      <c r="AT634" s="77"/>
      <c r="AU634" s="77"/>
      <c r="AV634" s="80" t="str">
        <f>HYPERLINK("https://pbs.twimg.com/profile_images/1283576393662636034/EjgsMA_W_normal.jpg")</f>
        <v>https://pbs.twimg.com/profile_images/1283576393662636034/EjgsMA_W_normal.jpg</v>
      </c>
      <c r="AW634" s="82" t="s">
        <v>4967</v>
      </c>
      <c r="AX634" s="82" t="s">
        <v>5419</v>
      </c>
      <c r="AY634" s="82" t="s">
        <v>5605</v>
      </c>
      <c r="AZ634" s="82" t="s">
        <v>5699</v>
      </c>
      <c r="BA634" s="82" t="s">
        <v>5615</v>
      </c>
      <c r="BB634" s="82" t="s">
        <v>5615</v>
      </c>
      <c r="BC634" s="82" t="s">
        <v>5699</v>
      </c>
      <c r="BD634" s="82" t="s">
        <v>5605</v>
      </c>
      <c r="BE634" s="77"/>
      <c r="BF634" s="77"/>
      <c r="BG634" s="77"/>
      <c r="BH634" s="77"/>
      <c r="BI634" s="77"/>
    </row>
    <row r="635" spans="1:61" x14ac:dyDescent="0.25">
      <c r="A635" s="62" t="s">
        <v>475</v>
      </c>
      <c r="B635" s="62" t="s">
        <v>475</v>
      </c>
      <c r="C635" s="63"/>
      <c r="D635" s="64"/>
      <c r="E635" s="65"/>
      <c r="F635" s="66"/>
      <c r="G635" s="63"/>
      <c r="H635" s="67"/>
      <c r="I635" s="68"/>
      <c r="J635" s="68"/>
      <c r="K635" s="32"/>
      <c r="L635" s="75">
        <v>635</v>
      </c>
      <c r="M635" s="75"/>
      <c r="N635" s="70"/>
      <c r="O635" s="77" t="s">
        <v>583</v>
      </c>
      <c r="P635" s="79">
        <v>45135.511458333334</v>
      </c>
      <c r="Q635" s="77" t="s">
        <v>1185</v>
      </c>
      <c r="R635" s="77">
        <v>0</v>
      </c>
      <c r="S635" s="77">
        <v>0</v>
      </c>
      <c r="T635" s="77">
        <v>0</v>
      </c>
      <c r="U635" s="77">
        <v>0</v>
      </c>
      <c r="V635" s="77">
        <v>14</v>
      </c>
      <c r="W635" s="82" t="s">
        <v>1948</v>
      </c>
      <c r="X635" s="77"/>
      <c r="Y635" s="77"/>
      <c r="Z635" s="77"/>
      <c r="AA635" s="77"/>
      <c r="AB635" s="77"/>
      <c r="AC635" s="82" t="s">
        <v>2720</v>
      </c>
      <c r="AD635" s="77" t="s">
        <v>2752</v>
      </c>
      <c r="AE635" s="80" t="str">
        <f>HYPERLINK("https://twitter.com/economedicos/status/1684900636633059328")</f>
        <v>https://twitter.com/economedicos/status/1684900636633059328</v>
      </c>
      <c r="AF635" s="79">
        <v>45135.511458333334</v>
      </c>
      <c r="AG635" s="85">
        <v>45135</v>
      </c>
      <c r="AH635" s="82" t="s">
        <v>3385</v>
      </c>
      <c r="AI635" s="77"/>
      <c r="AJ635" s="77"/>
      <c r="AK635" s="77"/>
      <c r="AL635" s="77"/>
      <c r="AM635" s="77"/>
      <c r="AN635" s="77"/>
      <c r="AO635" s="77"/>
      <c r="AP635" s="77"/>
      <c r="AQ635" s="77"/>
      <c r="AR635" s="77"/>
      <c r="AS635" s="77"/>
      <c r="AT635" s="77"/>
      <c r="AU635" s="77"/>
      <c r="AV635" s="80" t="str">
        <f>HYPERLINK("https://pbs.twimg.com/profile_images/1283576393662636034/EjgsMA_W_normal.jpg")</f>
        <v>https://pbs.twimg.com/profile_images/1283576393662636034/EjgsMA_W_normal.jpg</v>
      </c>
      <c r="AW635" s="82" t="s">
        <v>4968</v>
      </c>
      <c r="AX635" s="82" t="s">
        <v>5420</v>
      </c>
      <c r="AY635" s="82" t="s">
        <v>5605</v>
      </c>
      <c r="AZ635" s="82" t="s">
        <v>5700</v>
      </c>
      <c r="BA635" s="82" t="s">
        <v>5615</v>
      </c>
      <c r="BB635" s="82" t="s">
        <v>5615</v>
      </c>
      <c r="BC635" s="82" t="s">
        <v>5700</v>
      </c>
      <c r="BD635" s="82" t="s">
        <v>5605</v>
      </c>
      <c r="BE635" s="77"/>
      <c r="BF635" s="77"/>
      <c r="BG635" s="77"/>
      <c r="BH635" s="77"/>
      <c r="BI635" s="77"/>
    </row>
    <row r="636" spans="1:61" x14ac:dyDescent="0.25">
      <c r="A636" s="62" t="s">
        <v>475</v>
      </c>
      <c r="B636" s="62" t="s">
        <v>475</v>
      </c>
      <c r="C636" s="63"/>
      <c r="D636" s="64"/>
      <c r="E636" s="65"/>
      <c r="F636" s="66"/>
      <c r="G636" s="63"/>
      <c r="H636" s="67"/>
      <c r="I636" s="68"/>
      <c r="J636" s="68"/>
      <c r="K636" s="32"/>
      <c r="L636" s="75">
        <v>636</v>
      </c>
      <c r="M636" s="75"/>
      <c r="N636" s="70"/>
      <c r="O636" s="77" t="s">
        <v>583</v>
      </c>
      <c r="P636" s="79">
        <v>45133.437118055554</v>
      </c>
      <c r="Q636" s="77" t="s">
        <v>1186</v>
      </c>
      <c r="R636" s="77">
        <v>0</v>
      </c>
      <c r="S636" s="77">
        <v>0</v>
      </c>
      <c r="T636" s="77">
        <v>0</v>
      </c>
      <c r="U636" s="77">
        <v>0</v>
      </c>
      <c r="V636" s="77">
        <v>15</v>
      </c>
      <c r="W636" s="82" t="s">
        <v>1947</v>
      </c>
      <c r="X636" s="77"/>
      <c r="Y636" s="77"/>
      <c r="Z636" s="77"/>
      <c r="AA636" s="77"/>
      <c r="AB636" s="77"/>
      <c r="AC636" s="82" t="s">
        <v>2720</v>
      </c>
      <c r="AD636" s="77" t="s">
        <v>2752</v>
      </c>
      <c r="AE636" s="80" t="str">
        <f>HYPERLINK("https://twitter.com/economedicos/status/1684148922602897409")</f>
        <v>https://twitter.com/economedicos/status/1684148922602897409</v>
      </c>
      <c r="AF636" s="79">
        <v>45133.437118055554</v>
      </c>
      <c r="AG636" s="85">
        <v>45133</v>
      </c>
      <c r="AH636" s="82" t="s">
        <v>3386</v>
      </c>
      <c r="AI636" s="77"/>
      <c r="AJ636" s="77"/>
      <c r="AK636" s="77"/>
      <c r="AL636" s="77"/>
      <c r="AM636" s="77"/>
      <c r="AN636" s="77"/>
      <c r="AO636" s="77"/>
      <c r="AP636" s="77"/>
      <c r="AQ636" s="77"/>
      <c r="AR636" s="77"/>
      <c r="AS636" s="77"/>
      <c r="AT636" s="77"/>
      <c r="AU636" s="77"/>
      <c r="AV636" s="80" t="str">
        <f>HYPERLINK("https://pbs.twimg.com/profile_images/1283576393662636034/EjgsMA_W_normal.jpg")</f>
        <v>https://pbs.twimg.com/profile_images/1283576393662636034/EjgsMA_W_normal.jpg</v>
      </c>
      <c r="AW636" s="82" t="s">
        <v>4969</v>
      </c>
      <c r="AX636" s="82" t="s">
        <v>5421</v>
      </c>
      <c r="AY636" s="82" t="s">
        <v>5605</v>
      </c>
      <c r="AZ636" s="82" t="s">
        <v>5701</v>
      </c>
      <c r="BA636" s="82" t="s">
        <v>5615</v>
      </c>
      <c r="BB636" s="82" t="s">
        <v>5615</v>
      </c>
      <c r="BC636" s="82" t="s">
        <v>5701</v>
      </c>
      <c r="BD636" s="82" t="s">
        <v>5605</v>
      </c>
      <c r="BE636" s="77"/>
      <c r="BF636" s="77"/>
      <c r="BG636" s="77"/>
      <c r="BH636" s="77"/>
      <c r="BI636" s="77"/>
    </row>
    <row r="637" spans="1:61" x14ac:dyDescent="0.25">
      <c r="A637" s="62" t="s">
        <v>475</v>
      </c>
      <c r="B637" s="62" t="s">
        <v>475</v>
      </c>
      <c r="C637" s="63"/>
      <c r="D637" s="64"/>
      <c r="E637" s="65"/>
      <c r="F637" s="66"/>
      <c r="G637" s="63"/>
      <c r="H637" s="67"/>
      <c r="I637" s="68"/>
      <c r="J637" s="68"/>
      <c r="K637" s="32"/>
      <c r="L637" s="75">
        <v>637</v>
      </c>
      <c r="M637" s="75"/>
      <c r="N637" s="70"/>
      <c r="O637" s="77" t="s">
        <v>583</v>
      </c>
      <c r="P637" s="79">
        <v>45128.464432870373</v>
      </c>
      <c r="Q637" s="77" t="s">
        <v>1187</v>
      </c>
      <c r="R637" s="77">
        <v>0</v>
      </c>
      <c r="S637" s="77">
        <v>0</v>
      </c>
      <c r="T637" s="77">
        <v>0</v>
      </c>
      <c r="U637" s="77">
        <v>0</v>
      </c>
      <c r="V637" s="77">
        <v>3</v>
      </c>
      <c r="W637" s="82" t="s">
        <v>1947</v>
      </c>
      <c r="X637" s="77"/>
      <c r="Y637" s="77"/>
      <c r="Z637" s="77"/>
      <c r="AA637" s="77"/>
      <c r="AB637" s="77"/>
      <c r="AC637" s="82" t="s">
        <v>2720</v>
      </c>
      <c r="AD637" s="77" t="s">
        <v>2752</v>
      </c>
      <c r="AE637" s="80" t="str">
        <f>HYPERLINK("https://twitter.com/economedicos/status/1682346878807973890")</f>
        <v>https://twitter.com/economedicos/status/1682346878807973890</v>
      </c>
      <c r="AF637" s="79">
        <v>45128.464432870373</v>
      </c>
      <c r="AG637" s="85">
        <v>45128</v>
      </c>
      <c r="AH637" s="82" t="s">
        <v>3387</v>
      </c>
      <c r="AI637" s="77"/>
      <c r="AJ637" s="77"/>
      <c r="AK637" s="77"/>
      <c r="AL637" s="77"/>
      <c r="AM637" s="77"/>
      <c r="AN637" s="77"/>
      <c r="AO637" s="77"/>
      <c r="AP637" s="77"/>
      <c r="AQ637" s="77"/>
      <c r="AR637" s="77"/>
      <c r="AS637" s="77"/>
      <c r="AT637" s="77"/>
      <c r="AU637" s="77"/>
      <c r="AV637" s="80" t="str">
        <f>HYPERLINK("https://pbs.twimg.com/profile_images/1283576393662636034/EjgsMA_W_normal.jpg")</f>
        <v>https://pbs.twimg.com/profile_images/1283576393662636034/EjgsMA_W_normal.jpg</v>
      </c>
      <c r="AW637" s="82" t="s">
        <v>4970</v>
      </c>
      <c r="AX637" s="82" t="s">
        <v>5422</v>
      </c>
      <c r="AY637" s="82" t="s">
        <v>5605</v>
      </c>
      <c r="AZ637" s="82" t="s">
        <v>5702</v>
      </c>
      <c r="BA637" s="82" t="s">
        <v>5615</v>
      </c>
      <c r="BB637" s="82" t="s">
        <v>5615</v>
      </c>
      <c r="BC637" s="82" t="s">
        <v>5702</v>
      </c>
      <c r="BD637" s="82" t="s">
        <v>5605</v>
      </c>
      <c r="BE637" s="77"/>
      <c r="BF637" s="77"/>
      <c r="BG637" s="77"/>
      <c r="BH637" s="77"/>
      <c r="BI637" s="77"/>
    </row>
    <row r="638" spans="1:61" x14ac:dyDescent="0.25">
      <c r="A638" s="62" t="s">
        <v>475</v>
      </c>
      <c r="B638" s="62" t="s">
        <v>475</v>
      </c>
      <c r="C638" s="63"/>
      <c r="D638" s="64"/>
      <c r="E638" s="65"/>
      <c r="F638" s="66"/>
      <c r="G638" s="63"/>
      <c r="H638" s="67"/>
      <c r="I638" s="68"/>
      <c r="J638" s="68"/>
      <c r="K638" s="32"/>
      <c r="L638" s="75">
        <v>638</v>
      </c>
      <c r="M638" s="75"/>
      <c r="N638" s="70"/>
      <c r="O638" s="77" t="s">
        <v>583</v>
      </c>
      <c r="P638" s="79">
        <v>45127.469780092593</v>
      </c>
      <c r="Q638" s="77" t="s">
        <v>1188</v>
      </c>
      <c r="R638" s="77">
        <v>0</v>
      </c>
      <c r="S638" s="77">
        <v>0</v>
      </c>
      <c r="T638" s="77">
        <v>0</v>
      </c>
      <c r="U638" s="77">
        <v>0</v>
      </c>
      <c r="V638" s="77">
        <v>19</v>
      </c>
      <c r="W638" s="82" t="s">
        <v>1947</v>
      </c>
      <c r="X638" s="77"/>
      <c r="Y638" s="77"/>
      <c r="Z638" s="77"/>
      <c r="AA638" s="77"/>
      <c r="AB638" s="77"/>
      <c r="AC638" s="82" t="s">
        <v>2720</v>
      </c>
      <c r="AD638" s="77" t="s">
        <v>2752</v>
      </c>
      <c r="AE638" s="80" t="str">
        <f>HYPERLINK("https://twitter.com/economedicos/status/1681986431827300352")</f>
        <v>https://twitter.com/economedicos/status/1681986431827300352</v>
      </c>
      <c r="AF638" s="79">
        <v>45127.469780092593</v>
      </c>
      <c r="AG638" s="85">
        <v>45127</v>
      </c>
      <c r="AH638" s="82" t="s">
        <v>3388</v>
      </c>
      <c r="AI638" s="77"/>
      <c r="AJ638" s="77"/>
      <c r="AK638" s="77"/>
      <c r="AL638" s="77"/>
      <c r="AM638" s="77"/>
      <c r="AN638" s="77"/>
      <c r="AO638" s="77"/>
      <c r="AP638" s="77"/>
      <c r="AQ638" s="77"/>
      <c r="AR638" s="77"/>
      <c r="AS638" s="77"/>
      <c r="AT638" s="77"/>
      <c r="AU638" s="77"/>
      <c r="AV638" s="80" t="str">
        <f>HYPERLINK("https://pbs.twimg.com/profile_images/1283576393662636034/EjgsMA_W_normal.jpg")</f>
        <v>https://pbs.twimg.com/profile_images/1283576393662636034/EjgsMA_W_normal.jpg</v>
      </c>
      <c r="AW638" s="82" t="s">
        <v>4971</v>
      </c>
      <c r="AX638" s="82" t="s">
        <v>5423</v>
      </c>
      <c r="AY638" s="82" t="s">
        <v>5605</v>
      </c>
      <c r="AZ638" s="82" t="s">
        <v>5703</v>
      </c>
      <c r="BA638" s="82" t="s">
        <v>5615</v>
      </c>
      <c r="BB638" s="82" t="s">
        <v>5615</v>
      </c>
      <c r="BC638" s="82" t="s">
        <v>5703</v>
      </c>
      <c r="BD638" s="82" t="s">
        <v>5605</v>
      </c>
      <c r="BE638" s="77"/>
      <c r="BF638" s="77"/>
      <c r="BG638" s="77"/>
      <c r="BH638" s="77"/>
      <c r="BI638" s="77"/>
    </row>
    <row r="639" spans="1:61" x14ac:dyDescent="0.25">
      <c r="A639" s="62" t="s">
        <v>475</v>
      </c>
      <c r="B639" s="62" t="s">
        <v>475</v>
      </c>
      <c r="C639" s="63"/>
      <c r="D639" s="64"/>
      <c r="E639" s="65"/>
      <c r="F639" s="66"/>
      <c r="G639" s="63"/>
      <c r="H639" s="67"/>
      <c r="I639" s="68"/>
      <c r="J639" s="68"/>
      <c r="K639" s="32"/>
      <c r="L639" s="75">
        <v>639</v>
      </c>
      <c r="M639" s="75"/>
      <c r="N639" s="70"/>
      <c r="O639" s="77" t="s">
        <v>583</v>
      </c>
      <c r="P639" s="79">
        <v>45118.461817129632</v>
      </c>
      <c r="Q639" s="77" t="s">
        <v>1189</v>
      </c>
      <c r="R639" s="77">
        <v>0</v>
      </c>
      <c r="S639" s="77">
        <v>0</v>
      </c>
      <c r="T639" s="77">
        <v>0</v>
      </c>
      <c r="U639" s="77">
        <v>0</v>
      </c>
      <c r="V639" s="77">
        <v>7</v>
      </c>
      <c r="W639" s="82" t="s">
        <v>1947</v>
      </c>
      <c r="X639" s="77"/>
      <c r="Y639" s="77"/>
      <c r="Z639" s="77"/>
      <c r="AA639" s="77"/>
      <c r="AB639" s="77"/>
      <c r="AC639" s="82" t="s">
        <v>2720</v>
      </c>
      <c r="AD639" s="77" t="s">
        <v>2752</v>
      </c>
      <c r="AE639" s="80" t="str">
        <f>HYPERLINK("https://twitter.com/economedicos/status/1678722053732552706")</f>
        <v>https://twitter.com/economedicos/status/1678722053732552706</v>
      </c>
      <c r="AF639" s="79">
        <v>45118.461817129632</v>
      </c>
      <c r="AG639" s="85">
        <v>45118</v>
      </c>
      <c r="AH639" s="82" t="s">
        <v>3389</v>
      </c>
      <c r="AI639" s="77"/>
      <c r="AJ639" s="77"/>
      <c r="AK639" s="77"/>
      <c r="AL639" s="77"/>
      <c r="AM639" s="77"/>
      <c r="AN639" s="77"/>
      <c r="AO639" s="77"/>
      <c r="AP639" s="77"/>
      <c r="AQ639" s="77"/>
      <c r="AR639" s="77"/>
      <c r="AS639" s="77"/>
      <c r="AT639" s="77"/>
      <c r="AU639" s="77"/>
      <c r="AV639" s="80" t="str">
        <f>HYPERLINK("https://pbs.twimg.com/profile_images/1283576393662636034/EjgsMA_W_normal.jpg")</f>
        <v>https://pbs.twimg.com/profile_images/1283576393662636034/EjgsMA_W_normal.jpg</v>
      </c>
      <c r="AW639" s="82" t="s">
        <v>4972</v>
      </c>
      <c r="AX639" s="82" t="s">
        <v>5424</v>
      </c>
      <c r="AY639" s="82" t="s">
        <v>5605</v>
      </c>
      <c r="AZ639" s="82" t="s">
        <v>5704</v>
      </c>
      <c r="BA639" s="82" t="s">
        <v>5615</v>
      </c>
      <c r="BB639" s="82" t="s">
        <v>5615</v>
      </c>
      <c r="BC639" s="82" t="s">
        <v>5704</v>
      </c>
      <c r="BD639" s="82" t="s">
        <v>5605</v>
      </c>
      <c r="BE639" s="77"/>
      <c r="BF639" s="77"/>
      <c r="BG639" s="77"/>
      <c r="BH639" s="77"/>
      <c r="BI639" s="77"/>
    </row>
    <row r="640" spans="1:61" x14ac:dyDescent="0.25">
      <c r="A640" s="62" t="s">
        <v>475</v>
      </c>
      <c r="B640" s="62" t="s">
        <v>475</v>
      </c>
      <c r="C640" s="63"/>
      <c r="D640" s="64"/>
      <c r="E640" s="65"/>
      <c r="F640" s="66"/>
      <c r="G640" s="63"/>
      <c r="H640" s="67"/>
      <c r="I640" s="68"/>
      <c r="J640" s="68"/>
      <c r="K640" s="32"/>
      <c r="L640" s="75">
        <v>640</v>
      </c>
      <c r="M640" s="75"/>
      <c r="N640" s="70"/>
      <c r="O640" s="77" t="s">
        <v>583</v>
      </c>
      <c r="P640" s="79">
        <v>45114.449131944442</v>
      </c>
      <c r="Q640" s="77" t="s">
        <v>1190</v>
      </c>
      <c r="R640" s="77">
        <v>0</v>
      </c>
      <c r="S640" s="77">
        <v>0</v>
      </c>
      <c r="T640" s="77">
        <v>0</v>
      </c>
      <c r="U640" s="77">
        <v>0</v>
      </c>
      <c r="V640" s="77">
        <v>4</v>
      </c>
      <c r="W640" s="82" t="s">
        <v>1947</v>
      </c>
      <c r="X640" s="77"/>
      <c r="Y640" s="77"/>
      <c r="Z640" s="77"/>
      <c r="AA640" s="77"/>
      <c r="AB640" s="77"/>
      <c r="AC640" s="82" t="s">
        <v>2720</v>
      </c>
      <c r="AD640" s="77" t="s">
        <v>2752</v>
      </c>
      <c r="AE640" s="80" t="str">
        <f>HYPERLINK("https://twitter.com/economedicos/status/1677267905736585222")</f>
        <v>https://twitter.com/economedicos/status/1677267905736585222</v>
      </c>
      <c r="AF640" s="79">
        <v>45114.449131944442</v>
      </c>
      <c r="AG640" s="85">
        <v>45114</v>
      </c>
      <c r="AH640" s="82" t="s">
        <v>3390</v>
      </c>
      <c r="AI640" s="77"/>
      <c r="AJ640" s="77"/>
      <c r="AK640" s="77"/>
      <c r="AL640" s="77"/>
      <c r="AM640" s="77"/>
      <c r="AN640" s="77"/>
      <c r="AO640" s="77"/>
      <c r="AP640" s="77"/>
      <c r="AQ640" s="77"/>
      <c r="AR640" s="77"/>
      <c r="AS640" s="77"/>
      <c r="AT640" s="77"/>
      <c r="AU640" s="77"/>
      <c r="AV640" s="80" t="str">
        <f>HYPERLINK("https://pbs.twimg.com/profile_images/1283576393662636034/EjgsMA_W_normal.jpg")</f>
        <v>https://pbs.twimg.com/profile_images/1283576393662636034/EjgsMA_W_normal.jpg</v>
      </c>
      <c r="AW640" s="82" t="s">
        <v>4973</v>
      </c>
      <c r="AX640" s="82" t="s">
        <v>5425</v>
      </c>
      <c r="AY640" s="82" t="s">
        <v>5605</v>
      </c>
      <c r="AZ640" s="82" t="s">
        <v>5705</v>
      </c>
      <c r="BA640" s="82" t="s">
        <v>5615</v>
      </c>
      <c r="BB640" s="82" t="s">
        <v>5615</v>
      </c>
      <c r="BC640" s="82" t="s">
        <v>5705</v>
      </c>
      <c r="BD640" s="82" t="s">
        <v>5605</v>
      </c>
      <c r="BE640" s="77"/>
      <c r="BF640" s="77"/>
      <c r="BG640" s="77"/>
      <c r="BH640" s="77"/>
      <c r="BI640" s="77"/>
    </row>
    <row r="641" spans="1:61" x14ac:dyDescent="0.25">
      <c r="A641" s="62" t="s">
        <v>475</v>
      </c>
      <c r="B641" s="62" t="s">
        <v>475</v>
      </c>
      <c r="C641" s="63"/>
      <c r="D641" s="64"/>
      <c r="E641" s="65"/>
      <c r="F641" s="66"/>
      <c r="G641" s="63"/>
      <c r="H641" s="67"/>
      <c r="I641" s="68"/>
      <c r="J641" s="68"/>
      <c r="K641" s="32"/>
      <c r="L641" s="75">
        <v>641</v>
      </c>
      <c r="M641" s="75"/>
      <c r="N641" s="70"/>
      <c r="O641" s="77" t="s">
        <v>583</v>
      </c>
      <c r="P641" s="79">
        <v>45107.472754629627</v>
      </c>
      <c r="Q641" s="77" t="s">
        <v>1191</v>
      </c>
      <c r="R641" s="77">
        <v>0</v>
      </c>
      <c r="S641" s="77">
        <v>0</v>
      </c>
      <c r="T641" s="77">
        <v>0</v>
      </c>
      <c r="U641" s="77">
        <v>0</v>
      </c>
      <c r="V641" s="77">
        <v>9</v>
      </c>
      <c r="W641" s="82" t="s">
        <v>1947</v>
      </c>
      <c r="X641" s="77"/>
      <c r="Y641" s="77"/>
      <c r="Z641" s="77"/>
      <c r="AA641" s="77"/>
      <c r="AB641" s="77"/>
      <c r="AC641" s="82" t="s">
        <v>2720</v>
      </c>
      <c r="AD641" s="77" t="s">
        <v>2752</v>
      </c>
      <c r="AE641" s="80" t="str">
        <f>HYPERLINK("https://twitter.com/economedicos/status/1674739753005056002")</f>
        <v>https://twitter.com/economedicos/status/1674739753005056002</v>
      </c>
      <c r="AF641" s="79">
        <v>45107.472754629627</v>
      </c>
      <c r="AG641" s="85">
        <v>45107</v>
      </c>
      <c r="AH641" s="82" t="s">
        <v>3391</v>
      </c>
      <c r="AI641" s="77"/>
      <c r="AJ641" s="77"/>
      <c r="AK641" s="77"/>
      <c r="AL641" s="77"/>
      <c r="AM641" s="77"/>
      <c r="AN641" s="77"/>
      <c r="AO641" s="77"/>
      <c r="AP641" s="77"/>
      <c r="AQ641" s="77"/>
      <c r="AR641" s="77"/>
      <c r="AS641" s="77"/>
      <c r="AT641" s="77"/>
      <c r="AU641" s="77"/>
      <c r="AV641" s="80" t="str">
        <f>HYPERLINK("https://pbs.twimg.com/profile_images/1283576393662636034/EjgsMA_W_normal.jpg")</f>
        <v>https://pbs.twimg.com/profile_images/1283576393662636034/EjgsMA_W_normal.jpg</v>
      </c>
      <c r="AW641" s="82" t="s">
        <v>4974</v>
      </c>
      <c r="AX641" s="82" t="s">
        <v>5426</v>
      </c>
      <c r="AY641" s="82" t="s">
        <v>5605</v>
      </c>
      <c r="AZ641" s="82" t="s">
        <v>5706</v>
      </c>
      <c r="BA641" s="82" t="s">
        <v>5615</v>
      </c>
      <c r="BB641" s="82" t="s">
        <v>5615</v>
      </c>
      <c r="BC641" s="82" t="s">
        <v>5706</v>
      </c>
      <c r="BD641" s="82" t="s">
        <v>5605</v>
      </c>
      <c r="BE641" s="77"/>
      <c r="BF641" s="77"/>
      <c r="BG641" s="77"/>
      <c r="BH641" s="77"/>
      <c r="BI641" s="77"/>
    </row>
    <row r="642" spans="1:61" x14ac:dyDescent="0.25">
      <c r="A642" s="62" t="s">
        <v>475</v>
      </c>
      <c r="B642" s="62" t="s">
        <v>475</v>
      </c>
      <c r="C642" s="63"/>
      <c r="D642" s="64"/>
      <c r="E642" s="65"/>
      <c r="F642" s="66"/>
      <c r="G642" s="63"/>
      <c r="H642" s="67"/>
      <c r="I642" s="68"/>
      <c r="J642" s="68"/>
      <c r="K642" s="32"/>
      <c r="L642" s="75">
        <v>642</v>
      </c>
      <c r="M642" s="75"/>
      <c r="N642" s="70"/>
      <c r="O642" s="77" t="s">
        <v>583</v>
      </c>
      <c r="P642" s="79">
        <v>45106.44902777778</v>
      </c>
      <c r="Q642" s="77" t="s">
        <v>1192</v>
      </c>
      <c r="R642" s="77">
        <v>0</v>
      </c>
      <c r="S642" s="77">
        <v>0</v>
      </c>
      <c r="T642" s="77">
        <v>0</v>
      </c>
      <c r="U642" s="77">
        <v>0</v>
      </c>
      <c r="V642" s="77">
        <v>8</v>
      </c>
      <c r="W642" s="82" t="s">
        <v>1947</v>
      </c>
      <c r="X642" s="77"/>
      <c r="Y642" s="77"/>
      <c r="Z642" s="77"/>
      <c r="AA642" s="77"/>
      <c r="AB642" s="77"/>
      <c r="AC642" s="82" t="s">
        <v>2720</v>
      </c>
      <c r="AD642" s="77" t="s">
        <v>2752</v>
      </c>
      <c r="AE642" s="80" t="str">
        <f>HYPERLINK("https://twitter.com/economedicos/status/1674368763267895297")</f>
        <v>https://twitter.com/economedicos/status/1674368763267895297</v>
      </c>
      <c r="AF642" s="79">
        <v>45106.44902777778</v>
      </c>
      <c r="AG642" s="85">
        <v>45106</v>
      </c>
      <c r="AH642" s="82" t="s">
        <v>3392</v>
      </c>
      <c r="AI642" s="77"/>
      <c r="AJ642" s="77"/>
      <c r="AK642" s="77"/>
      <c r="AL642" s="77"/>
      <c r="AM642" s="77"/>
      <c r="AN642" s="77"/>
      <c r="AO642" s="77"/>
      <c r="AP642" s="77"/>
      <c r="AQ642" s="77"/>
      <c r="AR642" s="77"/>
      <c r="AS642" s="77"/>
      <c r="AT642" s="77"/>
      <c r="AU642" s="77"/>
      <c r="AV642" s="80" t="str">
        <f>HYPERLINK("https://pbs.twimg.com/profile_images/1283576393662636034/EjgsMA_W_normal.jpg")</f>
        <v>https://pbs.twimg.com/profile_images/1283576393662636034/EjgsMA_W_normal.jpg</v>
      </c>
      <c r="AW642" s="82" t="s">
        <v>4975</v>
      </c>
      <c r="AX642" s="82" t="s">
        <v>5427</v>
      </c>
      <c r="AY642" s="82" t="s">
        <v>5605</v>
      </c>
      <c r="AZ642" s="82" t="s">
        <v>5707</v>
      </c>
      <c r="BA642" s="82" t="s">
        <v>5615</v>
      </c>
      <c r="BB642" s="82" t="s">
        <v>5615</v>
      </c>
      <c r="BC642" s="82" t="s">
        <v>5707</v>
      </c>
      <c r="BD642" s="82" t="s">
        <v>5605</v>
      </c>
      <c r="BE642" s="77"/>
      <c r="BF642" s="77"/>
      <c r="BG642" s="77"/>
      <c r="BH642" s="77"/>
      <c r="BI642" s="77"/>
    </row>
    <row r="643" spans="1:61" x14ac:dyDescent="0.25">
      <c r="A643" s="62" t="s">
        <v>475</v>
      </c>
      <c r="B643" s="62" t="s">
        <v>475</v>
      </c>
      <c r="C643" s="63"/>
      <c r="D643" s="64"/>
      <c r="E643" s="65"/>
      <c r="F643" s="66"/>
      <c r="G643" s="63"/>
      <c r="H643" s="67"/>
      <c r="I643" s="68"/>
      <c r="J643" s="68"/>
      <c r="K643" s="32"/>
      <c r="L643" s="75">
        <v>643</v>
      </c>
      <c r="M643" s="75"/>
      <c r="N643" s="70"/>
      <c r="O643" s="77" t="s">
        <v>583</v>
      </c>
      <c r="P643" s="79">
        <v>45100.475983796299</v>
      </c>
      <c r="Q643" s="77" t="s">
        <v>1193</v>
      </c>
      <c r="R643" s="77">
        <v>0</v>
      </c>
      <c r="S643" s="77">
        <v>0</v>
      </c>
      <c r="T643" s="77">
        <v>0</v>
      </c>
      <c r="U643" s="77">
        <v>0</v>
      </c>
      <c r="V643" s="77">
        <v>12</v>
      </c>
      <c r="W643" s="82" t="s">
        <v>1947</v>
      </c>
      <c r="X643" s="77"/>
      <c r="Y643" s="77"/>
      <c r="Z643" s="77"/>
      <c r="AA643" s="77"/>
      <c r="AB643" s="77"/>
      <c r="AC643" s="82" t="s">
        <v>2720</v>
      </c>
      <c r="AD643" s="77" t="s">
        <v>2752</v>
      </c>
      <c r="AE643" s="80" t="str">
        <f>HYPERLINK("https://twitter.com/economedicos/status/1672204207560990723")</f>
        <v>https://twitter.com/economedicos/status/1672204207560990723</v>
      </c>
      <c r="AF643" s="79">
        <v>45100.475983796299</v>
      </c>
      <c r="AG643" s="85">
        <v>45100</v>
      </c>
      <c r="AH643" s="82" t="s">
        <v>3393</v>
      </c>
      <c r="AI643" s="77"/>
      <c r="AJ643" s="77"/>
      <c r="AK643" s="77"/>
      <c r="AL643" s="77"/>
      <c r="AM643" s="77"/>
      <c r="AN643" s="77"/>
      <c r="AO643" s="77"/>
      <c r="AP643" s="77"/>
      <c r="AQ643" s="77"/>
      <c r="AR643" s="77"/>
      <c r="AS643" s="77"/>
      <c r="AT643" s="77"/>
      <c r="AU643" s="77"/>
      <c r="AV643" s="80" t="str">
        <f>HYPERLINK("https://pbs.twimg.com/profile_images/1283576393662636034/EjgsMA_W_normal.jpg")</f>
        <v>https://pbs.twimg.com/profile_images/1283576393662636034/EjgsMA_W_normal.jpg</v>
      </c>
      <c r="AW643" s="82" t="s">
        <v>4976</v>
      </c>
      <c r="AX643" s="82" t="s">
        <v>5428</v>
      </c>
      <c r="AY643" s="82" t="s">
        <v>5605</v>
      </c>
      <c r="AZ643" s="82" t="s">
        <v>5708</v>
      </c>
      <c r="BA643" s="82" t="s">
        <v>5615</v>
      </c>
      <c r="BB643" s="82" t="s">
        <v>5615</v>
      </c>
      <c r="BC643" s="82" t="s">
        <v>5708</v>
      </c>
      <c r="BD643" s="82" t="s">
        <v>5605</v>
      </c>
      <c r="BE643" s="77"/>
      <c r="BF643" s="77"/>
      <c r="BG643" s="77"/>
      <c r="BH643" s="77"/>
      <c r="BI643" s="77"/>
    </row>
    <row r="644" spans="1:61" x14ac:dyDescent="0.25">
      <c r="A644" s="62" t="s">
        <v>475</v>
      </c>
      <c r="B644" s="62" t="s">
        <v>475</v>
      </c>
      <c r="C644" s="63"/>
      <c r="D644" s="64"/>
      <c r="E644" s="65"/>
      <c r="F644" s="66"/>
      <c r="G644" s="63"/>
      <c r="H644" s="67"/>
      <c r="I644" s="68"/>
      <c r="J644" s="68"/>
      <c r="K644" s="32"/>
      <c r="L644" s="75">
        <v>644</v>
      </c>
      <c r="M644" s="75"/>
      <c r="N644" s="70"/>
      <c r="O644" s="77" t="s">
        <v>583</v>
      </c>
      <c r="P644" s="79">
        <v>45099.413217592592</v>
      </c>
      <c r="Q644" s="77" t="s">
        <v>1194</v>
      </c>
      <c r="R644" s="77">
        <v>0</v>
      </c>
      <c r="S644" s="77">
        <v>0</v>
      </c>
      <c r="T644" s="77">
        <v>0</v>
      </c>
      <c r="U644" s="77">
        <v>0</v>
      </c>
      <c r="V644" s="77">
        <v>7</v>
      </c>
      <c r="W644" s="82" t="s">
        <v>1947</v>
      </c>
      <c r="X644" s="77"/>
      <c r="Y644" s="77"/>
      <c r="Z644" s="77"/>
      <c r="AA644" s="77"/>
      <c r="AB644" s="77"/>
      <c r="AC644" s="82" t="s">
        <v>2720</v>
      </c>
      <c r="AD644" s="77" t="s">
        <v>2752</v>
      </c>
      <c r="AE644" s="80" t="str">
        <f>HYPERLINK("https://twitter.com/economedicos/status/1671819074588868615")</f>
        <v>https://twitter.com/economedicos/status/1671819074588868615</v>
      </c>
      <c r="AF644" s="79">
        <v>45099.413217592592</v>
      </c>
      <c r="AG644" s="85">
        <v>45099</v>
      </c>
      <c r="AH644" s="82" t="s">
        <v>3394</v>
      </c>
      <c r="AI644" s="77"/>
      <c r="AJ644" s="77"/>
      <c r="AK644" s="77"/>
      <c r="AL644" s="77"/>
      <c r="AM644" s="77"/>
      <c r="AN644" s="77"/>
      <c r="AO644" s="77"/>
      <c r="AP644" s="77"/>
      <c r="AQ644" s="77"/>
      <c r="AR644" s="77"/>
      <c r="AS644" s="77"/>
      <c r="AT644" s="77"/>
      <c r="AU644" s="77"/>
      <c r="AV644" s="80" t="str">
        <f>HYPERLINK("https://pbs.twimg.com/profile_images/1283576393662636034/EjgsMA_W_normal.jpg")</f>
        <v>https://pbs.twimg.com/profile_images/1283576393662636034/EjgsMA_W_normal.jpg</v>
      </c>
      <c r="AW644" s="82" t="s">
        <v>4977</v>
      </c>
      <c r="AX644" s="82" t="s">
        <v>5429</v>
      </c>
      <c r="AY644" s="82" t="s">
        <v>5605</v>
      </c>
      <c r="AZ644" s="82" t="s">
        <v>5709</v>
      </c>
      <c r="BA644" s="82" t="s">
        <v>5615</v>
      </c>
      <c r="BB644" s="82" t="s">
        <v>5615</v>
      </c>
      <c r="BC644" s="82" t="s">
        <v>5709</v>
      </c>
      <c r="BD644" s="82" t="s">
        <v>5605</v>
      </c>
      <c r="BE644" s="77"/>
      <c r="BF644" s="77"/>
      <c r="BG644" s="77"/>
      <c r="BH644" s="77"/>
      <c r="BI644" s="77"/>
    </row>
    <row r="645" spans="1:61" x14ac:dyDescent="0.25">
      <c r="A645" s="62" t="s">
        <v>475</v>
      </c>
      <c r="B645" s="62" t="s">
        <v>475</v>
      </c>
      <c r="C645" s="63"/>
      <c r="D645" s="64"/>
      <c r="E645" s="65"/>
      <c r="F645" s="66"/>
      <c r="G645" s="63"/>
      <c r="H645" s="67"/>
      <c r="I645" s="68"/>
      <c r="J645" s="68"/>
      <c r="K645" s="32"/>
      <c r="L645" s="75">
        <v>645</v>
      </c>
      <c r="M645" s="75"/>
      <c r="N645" s="70"/>
      <c r="O645" s="77" t="s">
        <v>583</v>
      </c>
      <c r="P645" s="79">
        <v>45098.465057870373</v>
      </c>
      <c r="Q645" s="77" t="s">
        <v>1195</v>
      </c>
      <c r="R645" s="77">
        <v>0</v>
      </c>
      <c r="S645" s="77">
        <v>0</v>
      </c>
      <c r="T645" s="77">
        <v>0</v>
      </c>
      <c r="U645" s="77">
        <v>0</v>
      </c>
      <c r="V645" s="77">
        <v>9</v>
      </c>
      <c r="W645" s="82" t="s">
        <v>1947</v>
      </c>
      <c r="X645" s="77"/>
      <c r="Y645" s="77"/>
      <c r="Z645" s="77"/>
      <c r="AA645" s="77"/>
      <c r="AB645" s="77"/>
      <c r="AC645" s="82" t="s">
        <v>2720</v>
      </c>
      <c r="AD645" s="77" t="s">
        <v>2752</v>
      </c>
      <c r="AE645" s="80" t="str">
        <f>HYPERLINK("https://twitter.com/economedicos/status/1671475470544543744")</f>
        <v>https://twitter.com/economedicos/status/1671475470544543744</v>
      </c>
      <c r="AF645" s="79">
        <v>45098.465057870373</v>
      </c>
      <c r="AG645" s="85">
        <v>45098</v>
      </c>
      <c r="AH645" s="82" t="s">
        <v>3395</v>
      </c>
      <c r="AI645" s="77"/>
      <c r="AJ645" s="77"/>
      <c r="AK645" s="77"/>
      <c r="AL645" s="77"/>
      <c r="AM645" s="77"/>
      <c r="AN645" s="77"/>
      <c r="AO645" s="77"/>
      <c r="AP645" s="77"/>
      <c r="AQ645" s="77"/>
      <c r="AR645" s="77"/>
      <c r="AS645" s="77"/>
      <c r="AT645" s="77"/>
      <c r="AU645" s="77"/>
      <c r="AV645" s="80" t="str">
        <f>HYPERLINK("https://pbs.twimg.com/profile_images/1283576393662636034/EjgsMA_W_normal.jpg")</f>
        <v>https://pbs.twimg.com/profile_images/1283576393662636034/EjgsMA_W_normal.jpg</v>
      </c>
      <c r="AW645" s="82" t="s">
        <v>4978</v>
      </c>
      <c r="AX645" s="82" t="s">
        <v>5430</v>
      </c>
      <c r="AY645" s="82" t="s">
        <v>5605</v>
      </c>
      <c r="AZ645" s="82" t="s">
        <v>5710</v>
      </c>
      <c r="BA645" s="82" t="s">
        <v>5615</v>
      </c>
      <c r="BB645" s="82" t="s">
        <v>5615</v>
      </c>
      <c r="BC645" s="82" t="s">
        <v>5710</v>
      </c>
      <c r="BD645" s="82" t="s">
        <v>5605</v>
      </c>
      <c r="BE645" s="77"/>
      <c r="BF645" s="77"/>
      <c r="BG645" s="77"/>
      <c r="BH645" s="77"/>
      <c r="BI645" s="77"/>
    </row>
    <row r="646" spans="1:61" x14ac:dyDescent="0.25">
      <c r="A646" s="62" t="s">
        <v>475</v>
      </c>
      <c r="B646" s="62" t="s">
        <v>475</v>
      </c>
      <c r="C646" s="63"/>
      <c r="D646" s="64"/>
      <c r="E646" s="65"/>
      <c r="F646" s="66"/>
      <c r="G646" s="63"/>
      <c r="H646" s="67"/>
      <c r="I646" s="68"/>
      <c r="J646" s="68"/>
      <c r="K646" s="32"/>
      <c r="L646" s="75">
        <v>646</v>
      </c>
      <c r="M646" s="75"/>
      <c r="N646" s="70"/>
      <c r="O646" s="77" t="s">
        <v>583</v>
      </c>
      <c r="P646" s="79">
        <v>45091.449270833335</v>
      </c>
      <c r="Q646" s="77" t="s">
        <v>1196</v>
      </c>
      <c r="R646" s="77">
        <v>0</v>
      </c>
      <c r="S646" s="77">
        <v>0</v>
      </c>
      <c r="T646" s="77">
        <v>0</v>
      </c>
      <c r="U646" s="77">
        <v>0</v>
      </c>
      <c r="V646" s="77">
        <v>4</v>
      </c>
      <c r="W646" s="82" t="s">
        <v>1947</v>
      </c>
      <c r="X646" s="77"/>
      <c r="Y646" s="77"/>
      <c r="Z646" s="77"/>
      <c r="AA646" s="77"/>
      <c r="AB646" s="77"/>
      <c r="AC646" s="82" t="s">
        <v>2720</v>
      </c>
      <c r="AD646" s="77" t="s">
        <v>2752</v>
      </c>
      <c r="AE646" s="80" t="str">
        <f>HYPERLINK("https://twitter.com/economedicos/status/1668933033783709698")</f>
        <v>https://twitter.com/economedicos/status/1668933033783709698</v>
      </c>
      <c r="AF646" s="79">
        <v>45091.449270833335</v>
      </c>
      <c r="AG646" s="85">
        <v>45091</v>
      </c>
      <c r="AH646" s="82" t="s">
        <v>3396</v>
      </c>
      <c r="AI646" s="77"/>
      <c r="AJ646" s="77"/>
      <c r="AK646" s="77"/>
      <c r="AL646" s="77"/>
      <c r="AM646" s="77"/>
      <c r="AN646" s="77"/>
      <c r="AO646" s="77"/>
      <c r="AP646" s="77"/>
      <c r="AQ646" s="77"/>
      <c r="AR646" s="77"/>
      <c r="AS646" s="77"/>
      <c r="AT646" s="77"/>
      <c r="AU646" s="77"/>
      <c r="AV646" s="80" t="str">
        <f>HYPERLINK("https://pbs.twimg.com/profile_images/1283576393662636034/EjgsMA_W_normal.jpg")</f>
        <v>https://pbs.twimg.com/profile_images/1283576393662636034/EjgsMA_W_normal.jpg</v>
      </c>
      <c r="AW646" s="82" t="s">
        <v>4979</v>
      </c>
      <c r="AX646" s="82" t="s">
        <v>5431</v>
      </c>
      <c r="AY646" s="82" t="s">
        <v>5605</v>
      </c>
      <c r="AZ646" s="82" t="s">
        <v>5711</v>
      </c>
      <c r="BA646" s="82" t="s">
        <v>5615</v>
      </c>
      <c r="BB646" s="82" t="s">
        <v>5615</v>
      </c>
      <c r="BC646" s="82" t="s">
        <v>5711</v>
      </c>
      <c r="BD646" s="82" t="s">
        <v>5605</v>
      </c>
      <c r="BE646" s="77"/>
      <c r="BF646" s="77"/>
      <c r="BG646" s="77"/>
      <c r="BH646" s="77"/>
      <c r="BI646" s="77"/>
    </row>
    <row r="647" spans="1:61" x14ac:dyDescent="0.25">
      <c r="A647" s="62" t="s">
        <v>475</v>
      </c>
      <c r="B647" s="62" t="s">
        <v>475</v>
      </c>
      <c r="C647" s="63"/>
      <c r="D647" s="64"/>
      <c r="E647" s="65"/>
      <c r="F647" s="66"/>
      <c r="G647" s="63"/>
      <c r="H647" s="67"/>
      <c r="I647" s="68"/>
      <c r="J647" s="68"/>
      <c r="K647" s="32"/>
      <c r="L647" s="75">
        <v>647</v>
      </c>
      <c r="M647" s="75"/>
      <c r="N647" s="70"/>
      <c r="O647" s="77" t="s">
        <v>583</v>
      </c>
      <c r="P647" s="79">
        <v>45089.451979166668</v>
      </c>
      <c r="Q647" s="77" t="s">
        <v>1197</v>
      </c>
      <c r="R647" s="77">
        <v>0</v>
      </c>
      <c r="S647" s="77">
        <v>0</v>
      </c>
      <c r="T647" s="77">
        <v>0</v>
      </c>
      <c r="U647" s="77">
        <v>0</v>
      </c>
      <c r="V647" s="77">
        <v>3</v>
      </c>
      <c r="W647" s="82" t="s">
        <v>1947</v>
      </c>
      <c r="X647" s="77"/>
      <c r="Y647" s="77"/>
      <c r="Z647" s="77"/>
      <c r="AA647" s="77"/>
      <c r="AB647" s="77"/>
      <c r="AC647" s="82" t="s">
        <v>2720</v>
      </c>
      <c r="AD647" s="77" t="s">
        <v>2752</v>
      </c>
      <c r="AE647" s="80" t="str">
        <f>HYPERLINK("https://twitter.com/economedicos/status/1668209241113460736")</f>
        <v>https://twitter.com/economedicos/status/1668209241113460736</v>
      </c>
      <c r="AF647" s="79">
        <v>45089.451979166668</v>
      </c>
      <c r="AG647" s="85">
        <v>45089</v>
      </c>
      <c r="AH647" s="82" t="s">
        <v>3397</v>
      </c>
      <c r="AI647" s="77"/>
      <c r="AJ647" s="77"/>
      <c r="AK647" s="77"/>
      <c r="AL647" s="77"/>
      <c r="AM647" s="77"/>
      <c r="AN647" s="77"/>
      <c r="AO647" s="77"/>
      <c r="AP647" s="77"/>
      <c r="AQ647" s="77"/>
      <c r="AR647" s="77"/>
      <c r="AS647" s="77"/>
      <c r="AT647" s="77"/>
      <c r="AU647" s="77"/>
      <c r="AV647" s="80" t="str">
        <f>HYPERLINK("https://pbs.twimg.com/profile_images/1283576393662636034/EjgsMA_W_normal.jpg")</f>
        <v>https://pbs.twimg.com/profile_images/1283576393662636034/EjgsMA_W_normal.jpg</v>
      </c>
      <c r="AW647" s="82" t="s">
        <v>4980</v>
      </c>
      <c r="AX647" s="82" t="s">
        <v>5432</v>
      </c>
      <c r="AY647" s="82" t="s">
        <v>5605</v>
      </c>
      <c r="AZ647" s="82" t="s">
        <v>5712</v>
      </c>
      <c r="BA647" s="82" t="s">
        <v>5615</v>
      </c>
      <c r="BB647" s="82" t="s">
        <v>5615</v>
      </c>
      <c r="BC647" s="82" t="s">
        <v>5712</v>
      </c>
      <c r="BD647" s="82" t="s">
        <v>5605</v>
      </c>
      <c r="BE647" s="77"/>
      <c r="BF647" s="77"/>
      <c r="BG647" s="77"/>
      <c r="BH647" s="77"/>
      <c r="BI647" s="77"/>
    </row>
    <row r="648" spans="1:61" x14ac:dyDescent="0.25">
      <c r="A648" s="62" t="s">
        <v>475</v>
      </c>
      <c r="B648" s="62" t="s">
        <v>475</v>
      </c>
      <c r="C648" s="63"/>
      <c r="D648" s="64"/>
      <c r="E648" s="65"/>
      <c r="F648" s="66"/>
      <c r="G648" s="63"/>
      <c r="H648" s="67"/>
      <c r="I648" s="68"/>
      <c r="J648" s="68"/>
      <c r="K648" s="32"/>
      <c r="L648" s="75">
        <v>648</v>
      </c>
      <c r="M648" s="75"/>
      <c r="N648" s="70"/>
      <c r="O648" s="77" t="s">
        <v>583</v>
      </c>
      <c r="P648" s="79">
        <v>45063.464537037034</v>
      </c>
      <c r="Q648" s="77" t="s">
        <v>1198</v>
      </c>
      <c r="R648" s="77">
        <v>0</v>
      </c>
      <c r="S648" s="77">
        <v>0</v>
      </c>
      <c r="T648" s="77">
        <v>0</v>
      </c>
      <c r="U648" s="77">
        <v>0</v>
      </c>
      <c r="V648" s="77">
        <v>9</v>
      </c>
      <c r="W648" s="82" t="s">
        <v>1947</v>
      </c>
      <c r="X648" s="77"/>
      <c r="Y648" s="77"/>
      <c r="Z648" s="77"/>
      <c r="AA648" s="77"/>
      <c r="AB648" s="77"/>
      <c r="AC648" s="82" t="s">
        <v>2720</v>
      </c>
      <c r="AD648" s="77" t="s">
        <v>2752</v>
      </c>
      <c r="AE648" s="80" t="str">
        <f>HYPERLINK("https://twitter.com/economedicos/status/1658791707436105729")</f>
        <v>https://twitter.com/economedicos/status/1658791707436105729</v>
      </c>
      <c r="AF648" s="79">
        <v>45063.464537037034</v>
      </c>
      <c r="AG648" s="85">
        <v>45063</v>
      </c>
      <c r="AH648" s="82" t="s">
        <v>3398</v>
      </c>
      <c r="AI648" s="77"/>
      <c r="AJ648" s="77"/>
      <c r="AK648" s="77"/>
      <c r="AL648" s="77"/>
      <c r="AM648" s="77"/>
      <c r="AN648" s="77"/>
      <c r="AO648" s="77"/>
      <c r="AP648" s="77"/>
      <c r="AQ648" s="77"/>
      <c r="AR648" s="77"/>
      <c r="AS648" s="77"/>
      <c r="AT648" s="77"/>
      <c r="AU648" s="77"/>
      <c r="AV648" s="80" t="str">
        <f>HYPERLINK("https://pbs.twimg.com/profile_images/1283576393662636034/EjgsMA_W_normal.jpg")</f>
        <v>https://pbs.twimg.com/profile_images/1283576393662636034/EjgsMA_W_normal.jpg</v>
      </c>
      <c r="AW648" s="82" t="s">
        <v>4981</v>
      </c>
      <c r="AX648" s="82" t="s">
        <v>5433</v>
      </c>
      <c r="AY648" s="82" t="s">
        <v>5605</v>
      </c>
      <c r="AZ648" s="82" t="s">
        <v>5713</v>
      </c>
      <c r="BA648" s="82" t="s">
        <v>5615</v>
      </c>
      <c r="BB648" s="82" t="s">
        <v>5615</v>
      </c>
      <c r="BC648" s="82" t="s">
        <v>5713</v>
      </c>
      <c r="BD648" s="82" t="s">
        <v>5605</v>
      </c>
      <c r="BE648" s="77"/>
      <c r="BF648" s="77"/>
      <c r="BG648" s="77"/>
      <c r="BH648" s="77"/>
      <c r="BI648" s="77"/>
    </row>
    <row r="649" spans="1:61" x14ac:dyDescent="0.25">
      <c r="A649" s="62" t="s">
        <v>475</v>
      </c>
      <c r="B649" s="62" t="s">
        <v>475</v>
      </c>
      <c r="C649" s="63"/>
      <c r="D649" s="64"/>
      <c r="E649" s="65"/>
      <c r="F649" s="66"/>
      <c r="G649" s="63"/>
      <c r="H649" s="67"/>
      <c r="I649" s="68"/>
      <c r="J649" s="68"/>
      <c r="K649" s="32"/>
      <c r="L649" s="75">
        <v>649</v>
      </c>
      <c r="M649" s="75"/>
      <c r="N649" s="70"/>
      <c r="O649" s="77" t="s">
        <v>583</v>
      </c>
      <c r="P649" s="79">
        <v>45062.451539351852</v>
      </c>
      <c r="Q649" s="77" t="s">
        <v>1199</v>
      </c>
      <c r="R649" s="77">
        <v>0</v>
      </c>
      <c r="S649" s="77">
        <v>0</v>
      </c>
      <c r="T649" s="77">
        <v>0</v>
      </c>
      <c r="U649" s="77">
        <v>0</v>
      </c>
      <c r="V649" s="77">
        <v>3</v>
      </c>
      <c r="W649" s="82" t="s">
        <v>1947</v>
      </c>
      <c r="X649" s="77"/>
      <c r="Y649" s="77"/>
      <c r="Z649" s="77"/>
      <c r="AA649" s="77"/>
      <c r="AB649" s="77"/>
      <c r="AC649" s="82" t="s">
        <v>2720</v>
      </c>
      <c r="AD649" s="77" t="s">
        <v>2752</v>
      </c>
      <c r="AE649" s="80" t="str">
        <f>HYPERLINK("https://twitter.com/economedicos/status/1658424610327494656")</f>
        <v>https://twitter.com/economedicos/status/1658424610327494656</v>
      </c>
      <c r="AF649" s="79">
        <v>45062.451539351852</v>
      </c>
      <c r="AG649" s="85">
        <v>45062</v>
      </c>
      <c r="AH649" s="82" t="s">
        <v>3399</v>
      </c>
      <c r="AI649" s="77"/>
      <c r="AJ649" s="77"/>
      <c r="AK649" s="77"/>
      <c r="AL649" s="77"/>
      <c r="AM649" s="77"/>
      <c r="AN649" s="77"/>
      <c r="AO649" s="77"/>
      <c r="AP649" s="77"/>
      <c r="AQ649" s="77"/>
      <c r="AR649" s="77"/>
      <c r="AS649" s="77"/>
      <c r="AT649" s="77"/>
      <c r="AU649" s="77"/>
      <c r="AV649" s="80" t="str">
        <f>HYPERLINK("https://pbs.twimg.com/profile_images/1283576393662636034/EjgsMA_W_normal.jpg")</f>
        <v>https://pbs.twimg.com/profile_images/1283576393662636034/EjgsMA_W_normal.jpg</v>
      </c>
      <c r="AW649" s="82" t="s">
        <v>4982</v>
      </c>
      <c r="AX649" s="82" t="s">
        <v>5434</v>
      </c>
      <c r="AY649" s="82" t="s">
        <v>5605</v>
      </c>
      <c r="AZ649" s="82" t="s">
        <v>5714</v>
      </c>
      <c r="BA649" s="82" t="s">
        <v>5615</v>
      </c>
      <c r="BB649" s="82" t="s">
        <v>5615</v>
      </c>
      <c r="BC649" s="82" t="s">
        <v>5714</v>
      </c>
      <c r="BD649" s="82" t="s">
        <v>5605</v>
      </c>
      <c r="BE649" s="77"/>
      <c r="BF649" s="77"/>
      <c r="BG649" s="77"/>
      <c r="BH649" s="77"/>
      <c r="BI649" s="77"/>
    </row>
    <row r="650" spans="1:61" x14ac:dyDescent="0.25">
      <c r="A650" s="62" t="s">
        <v>475</v>
      </c>
      <c r="B650" s="62" t="s">
        <v>475</v>
      </c>
      <c r="C650" s="63"/>
      <c r="D650" s="64"/>
      <c r="E650" s="65"/>
      <c r="F650" s="66"/>
      <c r="G650" s="63"/>
      <c r="H650" s="67"/>
      <c r="I650" s="68"/>
      <c r="J650" s="68"/>
      <c r="K650" s="32"/>
      <c r="L650" s="75">
        <v>650</v>
      </c>
      <c r="M650" s="75"/>
      <c r="N650" s="70"/>
      <c r="O650" s="77" t="s">
        <v>583</v>
      </c>
      <c r="P650" s="79">
        <v>45061.464756944442</v>
      </c>
      <c r="Q650" s="77" t="s">
        <v>1200</v>
      </c>
      <c r="R650" s="77">
        <v>0</v>
      </c>
      <c r="S650" s="77">
        <v>0</v>
      </c>
      <c r="T650" s="77">
        <v>0</v>
      </c>
      <c r="U650" s="77">
        <v>0</v>
      </c>
      <c r="V650" s="77">
        <v>7</v>
      </c>
      <c r="W650" s="82" t="s">
        <v>1947</v>
      </c>
      <c r="X650" s="77"/>
      <c r="Y650" s="77"/>
      <c r="Z650" s="77"/>
      <c r="AA650" s="77"/>
      <c r="AB650" s="77"/>
      <c r="AC650" s="82" t="s">
        <v>2720</v>
      </c>
      <c r="AD650" s="77" t="s">
        <v>2752</v>
      </c>
      <c r="AE650" s="80" t="str">
        <f>HYPERLINK("https://twitter.com/economedicos/status/1658067009182089219")</f>
        <v>https://twitter.com/economedicos/status/1658067009182089219</v>
      </c>
      <c r="AF650" s="79">
        <v>45061.464756944442</v>
      </c>
      <c r="AG650" s="85">
        <v>45061</v>
      </c>
      <c r="AH650" s="82" t="s">
        <v>3400</v>
      </c>
      <c r="AI650" s="77"/>
      <c r="AJ650" s="77"/>
      <c r="AK650" s="77"/>
      <c r="AL650" s="77"/>
      <c r="AM650" s="77"/>
      <c r="AN650" s="77"/>
      <c r="AO650" s="77"/>
      <c r="AP650" s="77"/>
      <c r="AQ650" s="77"/>
      <c r="AR650" s="77"/>
      <c r="AS650" s="77"/>
      <c r="AT650" s="77"/>
      <c r="AU650" s="77"/>
      <c r="AV650" s="80" t="str">
        <f>HYPERLINK("https://pbs.twimg.com/profile_images/1283576393662636034/EjgsMA_W_normal.jpg")</f>
        <v>https://pbs.twimg.com/profile_images/1283576393662636034/EjgsMA_W_normal.jpg</v>
      </c>
      <c r="AW650" s="82" t="s">
        <v>4983</v>
      </c>
      <c r="AX650" s="82" t="s">
        <v>5435</v>
      </c>
      <c r="AY650" s="82" t="s">
        <v>5605</v>
      </c>
      <c r="AZ650" s="82" t="s">
        <v>5715</v>
      </c>
      <c r="BA650" s="82" t="s">
        <v>5615</v>
      </c>
      <c r="BB650" s="82" t="s">
        <v>5615</v>
      </c>
      <c r="BC650" s="82" t="s">
        <v>5715</v>
      </c>
      <c r="BD650" s="82" t="s">
        <v>5605</v>
      </c>
      <c r="BE650" s="77"/>
      <c r="BF650" s="77"/>
      <c r="BG650" s="77"/>
      <c r="BH650" s="77"/>
      <c r="BI650" s="77"/>
    </row>
    <row r="651" spans="1:61" x14ac:dyDescent="0.25">
      <c r="A651" s="62" t="s">
        <v>475</v>
      </c>
      <c r="B651" s="62" t="s">
        <v>475</v>
      </c>
      <c r="C651" s="63"/>
      <c r="D651" s="64"/>
      <c r="E651" s="65"/>
      <c r="F651" s="66"/>
      <c r="G651" s="63"/>
      <c r="H651" s="67"/>
      <c r="I651" s="68"/>
      <c r="J651" s="68"/>
      <c r="K651" s="32"/>
      <c r="L651" s="75">
        <v>651</v>
      </c>
      <c r="M651" s="75"/>
      <c r="N651" s="70"/>
      <c r="O651" s="77" t="s">
        <v>583</v>
      </c>
      <c r="P651" s="79">
        <v>45030.442974537036</v>
      </c>
      <c r="Q651" s="77" t="s">
        <v>1201</v>
      </c>
      <c r="R651" s="77">
        <v>0</v>
      </c>
      <c r="S651" s="77">
        <v>0</v>
      </c>
      <c r="T651" s="77">
        <v>0</v>
      </c>
      <c r="U651" s="77">
        <v>0</v>
      </c>
      <c r="V651" s="77">
        <v>11</v>
      </c>
      <c r="W651" s="82" t="s">
        <v>1947</v>
      </c>
      <c r="X651" s="77"/>
      <c r="Y651" s="77"/>
      <c r="Z651" s="77"/>
      <c r="AA651" s="77"/>
      <c r="AB651" s="77"/>
      <c r="AC651" s="82" t="s">
        <v>2720</v>
      </c>
      <c r="AD651" s="77" t="s">
        <v>2752</v>
      </c>
      <c r="AE651" s="80" t="str">
        <f>HYPERLINK("https://twitter.com/economedicos/status/1646825094801416193")</f>
        <v>https://twitter.com/economedicos/status/1646825094801416193</v>
      </c>
      <c r="AF651" s="79">
        <v>45030.442974537036</v>
      </c>
      <c r="AG651" s="85">
        <v>45030</v>
      </c>
      <c r="AH651" s="82" t="s">
        <v>3401</v>
      </c>
      <c r="AI651" s="77"/>
      <c r="AJ651" s="77"/>
      <c r="AK651" s="77"/>
      <c r="AL651" s="77"/>
      <c r="AM651" s="77"/>
      <c r="AN651" s="77"/>
      <c r="AO651" s="77"/>
      <c r="AP651" s="77"/>
      <c r="AQ651" s="77"/>
      <c r="AR651" s="77"/>
      <c r="AS651" s="77"/>
      <c r="AT651" s="77"/>
      <c r="AU651" s="77"/>
      <c r="AV651" s="80" t="str">
        <f>HYPERLINK("https://pbs.twimg.com/profile_images/1283576393662636034/EjgsMA_W_normal.jpg")</f>
        <v>https://pbs.twimg.com/profile_images/1283576393662636034/EjgsMA_W_normal.jpg</v>
      </c>
      <c r="AW651" s="82" t="s">
        <v>4984</v>
      </c>
      <c r="AX651" s="82" t="s">
        <v>5436</v>
      </c>
      <c r="AY651" s="82" t="s">
        <v>5605</v>
      </c>
      <c r="AZ651" s="82" t="s">
        <v>5716</v>
      </c>
      <c r="BA651" s="82" t="s">
        <v>5615</v>
      </c>
      <c r="BB651" s="82" t="s">
        <v>5615</v>
      </c>
      <c r="BC651" s="82" t="s">
        <v>5716</v>
      </c>
      <c r="BD651" s="82" t="s">
        <v>5605</v>
      </c>
      <c r="BE651" s="77"/>
      <c r="BF651" s="77"/>
      <c r="BG651" s="77"/>
      <c r="BH651" s="77"/>
      <c r="BI651" s="77"/>
    </row>
    <row r="652" spans="1:61" x14ac:dyDescent="0.25">
      <c r="A652" s="62" t="s">
        <v>475</v>
      </c>
      <c r="B652" s="62" t="s">
        <v>475</v>
      </c>
      <c r="C652" s="63"/>
      <c r="D652" s="64"/>
      <c r="E652" s="65"/>
      <c r="F652" s="66"/>
      <c r="G652" s="63"/>
      <c r="H652" s="67"/>
      <c r="I652" s="68"/>
      <c r="J652" s="68"/>
      <c r="K652" s="32"/>
      <c r="L652" s="75">
        <v>652</v>
      </c>
      <c r="M652" s="75"/>
      <c r="N652" s="70"/>
      <c r="O652" s="77" t="s">
        <v>583</v>
      </c>
      <c r="P652" s="79">
        <v>45029.431921296295</v>
      </c>
      <c r="Q652" s="77" t="s">
        <v>1202</v>
      </c>
      <c r="R652" s="77">
        <v>0</v>
      </c>
      <c r="S652" s="77">
        <v>0</v>
      </c>
      <c r="T652" s="77">
        <v>0</v>
      </c>
      <c r="U652" s="77">
        <v>0</v>
      </c>
      <c r="V652" s="77">
        <v>14</v>
      </c>
      <c r="W652" s="82" t="s">
        <v>1947</v>
      </c>
      <c r="X652" s="77"/>
      <c r="Y652" s="77"/>
      <c r="Z652" s="77"/>
      <c r="AA652" s="77"/>
      <c r="AB652" s="77"/>
      <c r="AC652" s="82" t="s">
        <v>2720</v>
      </c>
      <c r="AD652" s="77" t="s">
        <v>2752</v>
      </c>
      <c r="AE652" s="80" t="str">
        <f>HYPERLINK("https://twitter.com/economedicos/status/1646458698796023808")</f>
        <v>https://twitter.com/economedicos/status/1646458698796023808</v>
      </c>
      <c r="AF652" s="79">
        <v>45029.431921296295</v>
      </c>
      <c r="AG652" s="85">
        <v>45029</v>
      </c>
      <c r="AH652" s="82" t="s">
        <v>3402</v>
      </c>
      <c r="AI652" s="77"/>
      <c r="AJ652" s="77"/>
      <c r="AK652" s="77"/>
      <c r="AL652" s="77"/>
      <c r="AM652" s="77"/>
      <c r="AN652" s="77"/>
      <c r="AO652" s="77"/>
      <c r="AP652" s="77"/>
      <c r="AQ652" s="77"/>
      <c r="AR652" s="77"/>
      <c r="AS652" s="77"/>
      <c r="AT652" s="77"/>
      <c r="AU652" s="77"/>
      <c r="AV652" s="80" t="str">
        <f>HYPERLINK("https://pbs.twimg.com/profile_images/1283576393662636034/EjgsMA_W_normal.jpg")</f>
        <v>https://pbs.twimg.com/profile_images/1283576393662636034/EjgsMA_W_normal.jpg</v>
      </c>
      <c r="AW652" s="82" t="s">
        <v>4985</v>
      </c>
      <c r="AX652" s="82" t="s">
        <v>5437</v>
      </c>
      <c r="AY652" s="82" t="s">
        <v>5605</v>
      </c>
      <c r="AZ652" s="82" t="s">
        <v>5717</v>
      </c>
      <c r="BA652" s="82" t="s">
        <v>5615</v>
      </c>
      <c r="BB652" s="82" t="s">
        <v>5615</v>
      </c>
      <c r="BC652" s="82" t="s">
        <v>5717</v>
      </c>
      <c r="BD652" s="82" t="s">
        <v>5605</v>
      </c>
      <c r="BE652" s="77"/>
      <c r="BF652" s="77"/>
      <c r="BG652" s="77"/>
      <c r="BH652" s="77"/>
      <c r="BI652" s="77"/>
    </row>
    <row r="653" spans="1:61" x14ac:dyDescent="0.25">
      <c r="A653" s="62" t="s">
        <v>475</v>
      </c>
      <c r="B653" s="62" t="s">
        <v>475</v>
      </c>
      <c r="C653" s="63"/>
      <c r="D653" s="64"/>
      <c r="E653" s="65"/>
      <c r="F653" s="66"/>
      <c r="G653" s="63"/>
      <c r="H653" s="67"/>
      <c r="I653" s="68"/>
      <c r="J653" s="68"/>
      <c r="K653" s="32"/>
      <c r="L653" s="75">
        <v>653</v>
      </c>
      <c r="M653" s="75"/>
      <c r="N653" s="70"/>
      <c r="O653" s="77" t="s">
        <v>583</v>
      </c>
      <c r="P653" s="79">
        <v>45028.455601851849</v>
      </c>
      <c r="Q653" s="77" t="s">
        <v>1203</v>
      </c>
      <c r="R653" s="77">
        <v>0</v>
      </c>
      <c r="S653" s="77">
        <v>0</v>
      </c>
      <c r="T653" s="77">
        <v>0</v>
      </c>
      <c r="U653" s="77">
        <v>0</v>
      </c>
      <c r="V653" s="77">
        <v>3</v>
      </c>
      <c r="W653" s="82" t="s">
        <v>1947</v>
      </c>
      <c r="X653" s="77"/>
      <c r="Y653" s="77"/>
      <c r="Z653" s="77"/>
      <c r="AA653" s="77"/>
      <c r="AB653" s="77"/>
      <c r="AC653" s="82" t="s">
        <v>2720</v>
      </c>
      <c r="AD653" s="77" t="s">
        <v>2752</v>
      </c>
      <c r="AE653" s="80" t="str">
        <f>HYPERLINK("https://twitter.com/economedicos/status/1646104895148240898")</f>
        <v>https://twitter.com/economedicos/status/1646104895148240898</v>
      </c>
      <c r="AF653" s="79">
        <v>45028.455601851849</v>
      </c>
      <c r="AG653" s="85">
        <v>45028</v>
      </c>
      <c r="AH653" s="82" t="s">
        <v>3403</v>
      </c>
      <c r="AI653" s="77"/>
      <c r="AJ653" s="77"/>
      <c r="AK653" s="77"/>
      <c r="AL653" s="77"/>
      <c r="AM653" s="77"/>
      <c r="AN653" s="77"/>
      <c r="AO653" s="77"/>
      <c r="AP653" s="77"/>
      <c r="AQ653" s="77"/>
      <c r="AR653" s="77"/>
      <c r="AS653" s="77"/>
      <c r="AT653" s="77"/>
      <c r="AU653" s="77"/>
      <c r="AV653" s="80" t="str">
        <f>HYPERLINK("https://pbs.twimg.com/profile_images/1283576393662636034/EjgsMA_W_normal.jpg")</f>
        <v>https://pbs.twimg.com/profile_images/1283576393662636034/EjgsMA_W_normal.jpg</v>
      </c>
      <c r="AW653" s="82" t="s">
        <v>4986</v>
      </c>
      <c r="AX653" s="82" t="s">
        <v>5438</v>
      </c>
      <c r="AY653" s="82" t="s">
        <v>5605</v>
      </c>
      <c r="AZ653" s="82" t="s">
        <v>5718</v>
      </c>
      <c r="BA653" s="82" t="s">
        <v>5615</v>
      </c>
      <c r="BB653" s="82" t="s">
        <v>5615</v>
      </c>
      <c r="BC653" s="82" t="s">
        <v>5718</v>
      </c>
      <c r="BD653" s="82" t="s">
        <v>5605</v>
      </c>
      <c r="BE653" s="77"/>
      <c r="BF653" s="77"/>
      <c r="BG653" s="77"/>
      <c r="BH653" s="77"/>
      <c r="BI653" s="77"/>
    </row>
    <row r="654" spans="1:61" x14ac:dyDescent="0.25">
      <c r="A654" s="62" t="s">
        <v>475</v>
      </c>
      <c r="B654" s="62" t="s">
        <v>475</v>
      </c>
      <c r="C654" s="63"/>
      <c r="D654" s="64"/>
      <c r="E654" s="65"/>
      <c r="F654" s="66"/>
      <c r="G654" s="63"/>
      <c r="H654" s="67"/>
      <c r="I654" s="68"/>
      <c r="J654" s="68"/>
      <c r="K654" s="32"/>
      <c r="L654" s="75">
        <v>654</v>
      </c>
      <c r="M654" s="75"/>
      <c r="N654" s="70"/>
      <c r="O654" s="77" t="s">
        <v>583</v>
      </c>
      <c r="P654" s="79">
        <v>45026.445162037038</v>
      </c>
      <c r="Q654" s="77" t="s">
        <v>1204</v>
      </c>
      <c r="R654" s="77">
        <v>0</v>
      </c>
      <c r="S654" s="77">
        <v>0</v>
      </c>
      <c r="T654" s="77">
        <v>0</v>
      </c>
      <c r="U654" s="77">
        <v>0</v>
      </c>
      <c r="V654" s="77">
        <v>56</v>
      </c>
      <c r="W654" s="82" t="s">
        <v>1947</v>
      </c>
      <c r="X654" s="77"/>
      <c r="Y654" s="77"/>
      <c r="Z654" s="77"/>
      <c r="AA654" s="77"/>
      <c r="AB654" s="77"/>
      <c r="AC654" s="82" t="s">
        <v>2720</v>
      </c>
      <c r="AD654" s="77" t="s">
        <v>2752</v>
      </c>
      <c r="AE654" s="80" t="str">
        <f>HYPERLINK("https://twitter.com/economedicos/status/1645376336058277888")</f>
        <v>https://twitter.com/economedicos/status/1645376336058277888</v>
      </c>
      <c r="AF654" s="79">
        <v>45026.445162037038</v>
      </c>
      <c r="AG654" s="85">
        <v>45026</v>
      </c>
      <c r="AH654" s="82" t="s">
        <v>3404</v>
      </c>
      <c r="AI654" s="77"/>
      <c r="AJ654" s="77"/>
      <c r="AK654" s="77"/>
      <c r="AL654" s="77"/>
      <c r="AM654" s="77"/>
      <c r="AN654" s="77"/>
      <c r="AO654" s="77"/>
      <c r="AP654" s="77"/>
      <c r="AQ654" s="77"/>
      <c r="AR654" s="77"/>
      <c r="AS654" s="77"/>
      <c r="AT654" s="77"/>
      <c r="AU654" s="77"/>
      <c r="AV654" s="80" t="str">
        <f>HYPERLINK("https://pbs.twimg.com/profile_images/1283576393662636034/EjgsMA_W_normal.jpg")</f>
        <v>https://pbs.twimg.com/profile_images/1283576393662636034/EjgsMA_W_normal.jpg</v>
      </c>
      <c r="AW654" s="82" t="s">
        <v>4987</v>
      </c>
      <c r="AX654" s="82" t="s">
        <v>5439</v>
      </c>
      <c r="AY654" s="82" t="s">
        <v>5605</v>
      </c>
      <c r="AZ654" s="82" t="s">
        <v>5719</v>
      </c>
      <c r="BA654" s="82" t="s">
        <v>5615</v>
      </c>
      <c r="BB654" s="82" t="s">
        <v>5615</v>
      </c>
      <c r="BC654" s="82" t="s">
        <v>5719</v>
      </c>
      <c r="BD654" s="82" t="s">
        <v>5605</v>
      </c>
      <c r="BE654" s="77"/>
      <c r="BF654" s="77"/>
      <c r="BG654" s="77"/>
      <c r="BH654" s="77"/>
      <c r="BI654" s="77"/>
    </row>
    <row r="655" spans="1:61" x14ac:dyDescent="0.25">
      <c r="A655" s="62" t="s">
        <v>475</v>
      </c>
      <c r="B655" s="62" t="s">
        <v>475</v>
      </c>
      <c r="C655" s="63"/>
      <c r="D655" s="64"/>
      <c r="E655" s="65"/>
      <c r="F655" s="66"/>
      <c r="G655" s="63"/>
      <c r="H655" s="67"/>
      <c r="I655" s="68"/>
      <c r="J655" s="68"/>
      <c r="K655" s="32"/>
      <c r="L655" s="75">
        <v>655</v>
      </c>
      <c r="M655" s="75"/>
      <c r="N655" s="70"/>
      <c r="O655" s="77" t="s">
        <v>583</v>
      </c>
      <c r="P655" s="79">
        <v>44985.496296296296</v>
      </c>
      <c r="Q655" s="77" t="s">
        <v>1205</v>
      </c>
      <c r="R655" s="77">
        <v>0</v>
      </c>
      <c r="S655" s="77">
        <v>0</v>
      </c>
      <c r="T655" s="77">
        <v>0</v>
      </c>
      <c r="U655" s="77">
        <v>0</v>
      </c>
      <c r="V655" s="77">
        <v>4</v>
      </c>
      <c r="W655" s="82" t="s">
        <v>1947</v>
      </c>
      <c r="X655" s="77"/>
      <c r="Y655" s="77"/>
      <c r="Z655" s="77"/>
      <c r="AA655" s="77"/>
      <c r="AB655" s="77"/>
      <c r="AC655" s="82" t="s">
        <v>2720</v>
      </c>
      <c r="AD655" s="77" t="s">
        <v>2752</v>
      </c>
      <c r="AE655" s="80" t="str">
        <f>HYPERLINK("https://twitter.com/economedicos/status/1630536961352933377")</f>
        <v>https://twitter.com/economedicos/status/1630536961352933377</v>
      </c>
      <c r="AF655" s="79">
        <v>44985.496296296296</v>
      </c>
      <c r="AG655" s="85">
        <v>44985</v>
      </c>
      <c r="AH655" s="82" t="s">
        <v>3405</v>
      </c>
      <c r="AI655" s="77"/>
      <c r="AJ655" s="77"/>
      <c r="AK655" s="77"/>
      <c r="AL655" s="77"/>
      <c r="AM655" s="77"/>
      <c r="AN655" s="77"/>
      <c r="AO655" s="77"/>
      <c r="AP655" s="77"/>
      <c r="AQ655" s="77"/>
      <c r="AR655" s="77"/>
      <c r="AS655" s="77"/>
      <c r="AT655" s="77"/>
      <c r="AU655" s="77"/>
      <c r="AV655" s="80" t="str">
        <f>HYPERLINK("https://pbs.twimg.com/profile_images/1283576393662636034/EjgsMA_W_normal.jpg")</f>
        <v>https://pbs.twimg.com/profile_images/1283576393662636034/EjgsMA_W_normal.jpg</v>
      </c>
      <c r="AW655" s="82" t="s">
        <v>4988</v>
      </c>
      <c r="AX655" s="82" t="s">
        <v>5440</v>
      </c>
      <c r="AY655" s="82" t="s">
        <v>5605</v>
      </c>
      <c r="AZ655" s="82" t="s">
        <v>5720</v>
      </c>
      <c r="BA655" s="82" t="s">
        <v>5615</v>
      </c>
      <c r="BB655" s="82" t="s">
        <v>5615</v>
      </c>
      <c r="BC655" s="82" t="s">
        <v>5720</v>
      </c>
      <c r="BD655" s="82" t="s">
        <v>5605</v>
      </c>
      <c r="BE655" s="77"/>
      <c r="BF655" s="77"/>
      <c r="BG655" s="77"/>
      <c r="BH655" s="77"/>
      <c r="BI655" s="77"/>
    </row>
    <row r="656" spans="1:61" x14ac:dyDescent="0.25">
      <c r="A656" s="62" t="s">
        <v>475</v>
      </c>
      <c r="B656" s="62" t="s">
        <v>475</v>
      </c>
      <c r="C656" s="63"/>
      <c r="D656" s="64"/>
      <c r="E656" s="65"/>
      <c r="F656" s="66"/>
      <c r="G656" s="63"/>
      <c r="H656" s="67"/>
      <c r="I656" s="68"/>
      <c r="J656" s="68"/>
      <c r="K656" s="32"/>
      <c r="L656" s="75">
        <v>656</v>
      </c>
      <c r="M656" s="75"/>
      <c r="N656" s="70"/>
      <c r="O656" s="77" t="s">
        <v>583</v>
      </c>
      <c r="P656" s="79">
        <v>44984.470879629633</v>
      </c>
      <c r="Q656" s="77" t="s">
        <v>1206</v>
      </c>
      <c r="R656" s="77">
        <v>0</v>
      </c>
      <c r="S656" s="77">
        <v>0</v>
      </c>
      <c r="T656" s="77">
        <v>0</v>
      </c>
      <c r="U656" s="77">
        <v>0</v>
      </c>
      <c r="V656" s="77">
        <v>17</v>
      </c>
      <c r="W656" s="82" t="s">
        <v>1947</v>
      </c>
      <c r="X656" s="77"/>
      <c r="Y656" s="77"/>
      <c r="Z656" s="77"/>
      <c r="AA656" s="77"/>
      <c r="AB656" s="77"/>
      <c r="AC656" s="82" t="s">
        <v>2720</v>
      </c>
      <c r="AD656" s="77" t="s">
        <v>2752</v>
      </c>
      <c r="AE656" s="80" t="str">
        <f>HYPERLINK("https://twitter.com/economedicos/status/1630165366293815296")</f>
        <v>https://twitter.com/economedicos/status/1630165366293815296</v>
      </c>
      <c r="AF656" s="79">
        <v>44984.470879629633</v>
      </c>
      <c r="AG656" s="85">
        <v>44984</v>
      </c>
      <c r="AH656" s="82" t="s">
        <v>3406</v>
      </c>
      <c r="AI656" s="77"/>
      <c r="AJ656" s="77"/>
      <c r="AK656" s="77"/>
      <c r="AL656" s="77"/>
      <c r="AM656" s="77"/>
      <c r="AN656" s="77"/>
      <c r="AO656" s="77"/>
      <c r="AP656" s="77"/>
      <c r="AQ656" s="77"/>
      <c r="AR656" s="77"/>
      <c r="AS656" s="77"/>
      <c r="AT656" s="77"/>
      <c r="AU656" s="77"/>
      <c r="AV656" s="80" t="str">
        <f>HYPERLINK("https://pbs.twimg.com/profile_images/1283576393662636034/EjgsMA_W_normal.jpg")</f>
        <v>https://pbs.twimg.com/profile_images/1283576393662636034/EjgsMA_W_normal.jpg</v>
      </c>
      <c r="AW656" s="82" t="s">
        <v>4989</v>
      </c>
      <c r="AX656" s="82" t="s">
        <v>5441</v>
      </c>
      <c r="AY656" s="82" t="s">
        <v>5605</v>
      </c>
      <c r="AZ656" s="82" t="s">
        <v>5721</v>
      </c>
      <c r="BA656" s="82" t="s">
        <v>5615</v>
      </c>
      <c r="BB656" s="82" t="s">
        <v>5615</v>
      </c>
      <c r="BC656" s="82" t="s">
        <v>5721</v>
      </c>
      <c r="BD656" s="82" t="s">
        <v>5605</v>
      </c>
      <c r="BE656" s="77"/>
      <c r="BF656" s="77"/>
      <c r="BG656" s="77"/>
      <c r="BH656" s="77"/>
      <c r="BI656" s="77"/>
    </row>
    <row r="657" spans="1:61" x14ac:dyDescent="0.25">
      <c r="A657" s="62" t="s">
        <v>475</v>
      </c>
      <c r="B657" s="62" t="s">
        <v>475</v>
      </c>
      <c r="C657" s="63"/>
      <c r="D657" s="64"/>
      <c r="E657" s="65"/>
      <c r="F657" s="66"/>
      <c r="G657" s="63"/>
      <c r="H657" s="67"/>
      <c r="I657" s="68"/>
      <c r="J657" s="68"/>
      <c r="K657" s="32"/>
      <c r="L657" s="75">
        <v>657</v>
      </c>
      <c r="M657" s="75"/>
      <c r="N657" s="70"/>
      <c r="O657" s="77" t="s">
        <v>583</v>
      </c>
      <c r="P657" s="79">
        <v>44981.475277777776</v>
      </c>
      <c r="Q657" s="77" t="s">
        <v>1207</v>
      </c>
      <c r="R657" s="77">
        <v>0</v>
      </c>
      <c r="S657" s="77">
        <v>0</v>
      </c>
      <c r="T657" s="77">
        <v>0</v>
      </c>
      <c r="U657" s="77">
        <v>0</v>
      </c>
      <c r="V657" s="77">
        <v>12</v>
      </c>
      <c r="W657" s="82" t="s">
        <v>1947</v>
      </c>
      <c r="X657" s="77"/>
      <c r="Y657" s="77"/>
      <c r="Z657" s="77"/>
      <c r="AA657" s="77"/>
      <c r="AB657" s="77"/>
      <c r="AC657" s="82" t="s">
        <v>2720</v>
      </c>
      <c r="AD657" s="77" t="s">
        <v>2752</v>
      </c>
      <c r="AE657" s="80" t="str">
        <f>HYPERLINK("https://twitter.com/economedicos/status/1629079796150939649")</f>
        <v>https://twitter.com/economedicos/status/1629079796150939649</v>
      </c>
      <c r="AF657" s="79">
        <v>44981.475277777776</v>
      </c>
      <c r="AG657" s="85">
        <v>44981</v>
      </c>
      <c r="AH657" s="82" t="s">
        <v>3407</v>
      </c>
      <c r="AI657" s="77"/>
      <c r="AJ657" s="77"/>
      <c r="AK657" s="77"/>
      <c r="AL657" s="77"/>
      <c r="AM657" s="77"/>
      <c r="AN657" s="77"/>
      <c r="AO657" s="77"/>
      <c r="AP657" s="77"/>
      <c r="AQ657" s="77"/>
      <c r="AR657" s="77"/>
      <c r="AS657" s="77"/>
      <c r="AT657" s="77"/>
      <c r="AU657" s="77"/>
      <c r="AV657" s="80" t="str">
        <f>HYPERLINK("https://pbs.twimg.com/profile_images/1283576393662636034/EjgsMA_W_normal.jpg")</f>
        <v>https://pbs.twimg.com/profile_images/1283576393662636034/EjgsMA_W_normal.jpg</v>
      </c>
      <c r="AW657" s="82" t="s">
        <v>4990</v>
      </c>
      <c r="AX657" s="82" t="s">
        <v>5442</v>
      </c>
      <c r="AY657" s="82" t="s">
        <v>5605</v>
      </c>
      <c r="AZ657" s="82" t="s">
        <v>5722</v>
      </c>
      <c r="BA657" s="82" t="s">
        <v>5615</v>
      </c>
      <c r="BB657" s="82" t="s">
        <v>5615</v>
      </c>
      <c r="BC657" s="82" t="s">
        <v>5722</v>
      </c>
      <c r="BD657" s="82" t="s">
        <v>5605</v>
      </c>
      <c r="BE657" s="77"/>
      <c r="BF657" s="77"/>
      <c r="BG657" s="77"/>
      <c r="BH657" s="77"/>
      <c r="BI657" s="77"/>
    </row>
    <row r="658" spans="1:61" x14ac:dyDescent="0.25">
      <c r="A658" s="62" t="s">
        <v>475</v>
      </c>
      <c r="B658" s="62" t="s">
        <v>475</v>
      </c>
      <c r="C658" s="63"/>
      <c r="D658" s="64"/>
      <c r="E658" s="65"/>
      <c r="F658" s="66"/>
      <c r="G658" s="63"/>
      <c r="H658" s="67"/>
      <c r="I658" s="68"/>
      <c r="J658" s="68"/>
      <c r="K658" s="32"/>
      <c r="L658" s="75">
        <v>658</v>
      </c>
      <c r="M658" s="75"/>
      <c r="N658" s="70"/>
      <c r="O658" s="77" t="s">
        <v>583</v>
      </c>
      <c r="P658" s="79">
        <v>44980.476307870369</v>
      </c>
      <c r="Q658" s="77" t="s">
        <v>1208</v>
      </c>
      <c r="R658" s="77">
        <v>0</v>
      </c>
      <c r="S658" s="77">
        <v>0</v>
      </c>
      <c r="T658" s="77">
        <v>0</v>
      </c>
      <c r="U658" s="77">
        <v>0</v>
      </c>
      <c r="V658" s="77">
        <v>20</v>
      </c>
      <c r="W658" s="82" t="s">
        <v>1947</v>
      </c>
      <c r="X658" s="77"/>
      <c r="Y658" s="77"/>
      <c r="Z658" s="77"/>
      <c r="AA658" s="77"/>
      <c r="AB658" s="77"/>
      <c r="AC658" s="82" t="s">
        <v>2720</v>
      </c>
      <c r="AD658" s="77" t="s">
        <v>2752</v>
      </c>
      <c r="AE658" s="80" t="str">
        <f>HYPERLINK("https://twitter.com/economedicos/status/1628717781808979973")</f>
        <v>https://twitter.com/economedicos/status/1628717781808979973</v>
      </c>
      <c r="AF658" s="79">
        <v>44980.476307870369</v>
      </c>
      <c r="AG658" s="85">
        <v>44980</v>
      </c>
      <c r="AH658" s="82" t="s">
        <v>3408</v>
      </c>
      <c r="AI658" s="77"/>
      <c r="AJ658" s="77"/>
      <c r="AK658" s="77"/>
      <c r="AL658" s="77"/>
      <c r="AM658" s="77"/>
      <c r="AN658" s="77"/>
      <c r="AO658" s="77"/>
      <c r="AP658" s="77"/>
      <c r="AQ658" s="77"/>
      <c r="AR658" s="77"/>
      <c r="AS658" s="77"/>
      <c r="AT658" s="77"/>
      <c r="AU658" s="77"/>
      <c r="AV658" s="80" t="str">
        <f>HYPERLINK("https://pbs.twimg.com/profile_images/1283576393662636034/EjgsMA_W_normal.jpg")</f>
        <v>https://pbs.twimg.com/profile_images/1283576393662636034/EjgsMA_W_normal.jpg</v>
      </c>
      <c r="AW658" s="82" t="s">
        <v>4991</v>
      </c>
      <c r="AX658" s="82" t="s">
        <v>5443</v>
      </c>
      <c r="AY658" s="82" t="s">
        <v>5605</v>
      </c>
      <c r="AZ658" s="82" t="s">
        <v>5723</v>
      </c>
      <c r="BA658" s="82" t="s">
        <v>5615</v>
      </c>
      <c r="BB658" s="82" t="s">
        <v>5615</v>
      </c>
      <c r="BC658" s="82" t="s">
        <v>5723</v>
      </c>
      <c r="BD658" s="82" t="s">
        <v>5605</v>
      </c>
      <c r="BE658" s="77"/>
      <c r="BF658" s="77"/>
      <c r="BG658" s="77"/>
      <c r="BH658" s="77"/>
      <c r="BI658" s="77"/>
    </row>
    <row r="659" spans="1:61" x14ac:dyDescent="0.25">
      <c r="A659" s="62" t="s">
        <v>475</v>
      </c>
      <c r="B659" s="62" t="s">
        <v>475</v>
      </c>
      <c r="C659" s="63"/>
      <c r="D659" s="64"/>
      <c r="E659" s="65"/>
      <c r="F659" s="66"/>
      <c r="G659" s="63"/>
      <c r="H659" s="67"/>
      <c r="I659" s="68"/>
      <c r="J659" s="68"/>
      <c r="K659" s="32"/>
      <c r="L659" s="75">
        <v>659</v>
      </c>
      <c r="M659" s="75"/>
      <c r="N659" s="70"/>
      <c r="O659" s="77" t="s">
        <v>583</v>
      </c>
      <c r="P659" s="79">
        <v>44974.466736111113</v>
      </c>
      <c r="Q659" s="77" t="s">
        <v>1209</v>
      </c>
      <c r="R659" s="77">
        <v>0</v>
      </c>
      <c r="S659" s="77">
        <v>0</v>
      </c>
      <c r="T659" s="77">
        <v>0</v>
      </c>
      <c r="U659" s="77">
        <v>0</v>
      </c>
      <c r="V659" s="77">
        <v>10</v>
      </c>
      <c r="W659" s="82" t="s">
        <v>1947</v>
      </c>
      <c r="X659" s="77"/>
      <c r="Y659" s="77"/>
      <c r="Z659" s="77"/>
      <c r="AA659" s="77"/>
      <c r="AB659" s="77"/>
      <c r="AC659" s="82" t="s">
        <v>2720</v>
      </c>
      <c r="AD659" s="77" t="s">
        <v>2752</v>
      </c>
      <c r="AE659" s="80" t="str">
        <f>HYPERLINK("https://twitter.com/economedicos/status/1626539982700654592")</f>
        <v>https://twitter.com/economedicos/status/1626539982700654592</v>
      </c>
      <c r="AF659" s="79">
        <v>44974.466736111113</v>
      </c>
      <c r="AG659" s="85">
        <v>44974</v>
      </c>
      <c r="AH659" s="82" t="s">
        <v>3409</v>
      </c>
      <c r="AI659" s="77"/>
      <c r="AJ659" s="77"/>
      <c r="AK659" s="77"/>
      <c r="AL659" s="77"/>
      <c r="AM659" s="77"/>
      <c r="AN659" s="77"/>
      <c r="AO659" s="77"/>
      <c r="AP659" s="77"/>
      <c r="AQ659" s="77"/>
      <c r="AR659" s="77"/>
      <c r="AS659" s="77"/>
      <c r="AT659" s="77"/>
      <c r="AU659" s="77"/>
      <c r="AV659" s="80" t="str">
        <f>HYPERLINK("https://pbs.twimg.com/profile_images/1283576393662636034/EjgsMA_W_normal.jpg")</f>
        <v>https://pbs.twimg.com/profile_images/1283576393662636034/EjgsMA_W_normal.jpg</v>
      </c>
      <c r="AW659" s="82" t="s">
        <v>4992</v>
      </c>
      <c r="AX659" s="82" t="s">
        <v>5444</v>
      </c>
      <c r="AY659" s="82" t="s">
        <v>5605</v>
      </c>
      <c r="AZ659" s="82" t="s">
        <v>5724</v>
      </c>
      <c r="BA659" s="82" t="s">
        <v>5615</v>
      </c>
      <c r="BB659" s="82" t="s">
        <v>5615</v>
      </c>
      <c r="BC659" s="82" t="s">
        <v>5724</v>
      </c>
      <c r="BD659" s="82" t="s">
        <v>5605</v>
      </c>
      <c r="BE659" s="77"/>
      <c r="BF659" s="77"/>
      <c r="BG659" s="77"/>
      <c r="BH659" s="77"/>
      <c r="BI659" s="77"/>
    </row>
    <row r="660" spans="1:61" x14ac:dyDescent="0.25">
      <c r="A660" s="62" t="s">
        <v>475</v>
      </c>
      <c r="B660" s="62" t="s">
        <v>475</v>
      </c>
      <c r="C660" s="63"/>
      <c r="D660" s="64"/>
      <c r="E660" s="65"/>
      <c r="F660" s="66"/>
      <c r="G660" s="63"/>
      <c r="H660" s="67"/>
      <c r="I660" s="68"/>
      <c r="J660" s="68"/>
      <c r="K660" s="32"/>
      <c r="L660" s="75">
        <v>660</v>
      </c>
      <c r="M660" s="75"/>
      <c r="N660" s="70"/>
      <c r="O660" s="77" t="s">
        <v>583</v>
      </c>
      <c r="P660" s="79">
        <v>44973.486620370371</v>
      </c>
      <c r="Q660" s="77" t="s">
        <v>1210</v>
      </c>
      <c r="R660" s="77">
        <v>0</v>
      </c>
      <c r="S660" s="77">
        <v>0</v>
      </c>
      <c r="T660" s="77">
        <v>0</v>
      </c>
      <c r="U660" s="77">
        <v>0</v>
      </c>
      <c r="V660" s="77">
        <v>7</v>
      </c>
      <c r="W660" s="82" t="s">
        <v>1947</v>
      </c>
      <c r="X660" s="77"/>
      <c r="Y660" s="77"/>
      <c r="Z660" s="77"/>
      <c r="AA660" s="77"/>
      <c r="AB660" s="77"/>
      <c r="AC660" s="82" t="s">
        <v>2720</v>
      </c>
      <c r="AD660" s="77" t="s">
        <v>2752</v>
      </c>
      <c r="AE660" s="80" t="str">
        <f>HYPERLINK("https://twitter.com/economedicos/status/1626184803518144512")</f>
        <v>https://twitter.com/economedicos/status/1626184803518144512</v>
      </c>
      <c r="AF660" s="79">
        <v>44973.486620370371</v>
      </c>
      <c r="AG660" s="85">
        <v>44973</v>
      </c>
      <c r="AH660" s="82" t="s">
        <v>3410</v>
      </c>
      <c r="AI660" s="77"/>
      <c r="AJ660" s="77"/>
      <c r="AK660" s="77"/>
      <c r="AL660" s="77"/>
      <c r="AM660" s="77"/>
      <c r="AN660" s="77"/>
      <c r="AO660" s="77"/>
      <c r="AP660" s="77"/>
      <c r="AQ660" s="77"/>
      <c r="AR660" s="77"/>
      <c r="AS660" s="77"/>
      <c r="AT660" s="77"/>
      <c r="AU660" s="77"/>
      <c r="AV660" s="80" t="str">
        <f>HYPERLINK("https://pbs.twimg.com/profile_images/1283576393662636034/EjgsMA_W_normal.jpg")</f>
        <v>https://pbs.twimg.com/profile_images/1283576393662636034/EjgsMA_W_normal.jpg</v>
      </c>
      <c r="AW660" s="82" t="s">
        <v>4993</v>
      </c>
      <c r="AX660" s="82" t="s">
        <v>5445</v>
      </c>
      <c r="AY660" s="82" t="s">
        <v>5605</v>
      </c>
      <c r="AZ660" s="82" t="s">
        <v>5725</v>
      </c>
      <c r="BA660" s="82" t="s">
        <v>5615</v>
      </c>
      <c r="BB660" s="82" t="s">
        <v>5615</v>
      </c>
      <c r="BC660" s="82" t="s">
        <v>5725</v>
      </c>
      <c r="BD660" s="82" t="s">
        <v>5605</v>
      </c>
      <c r="BE660" s="77"/>
      <c r="BF660" s="77"/>
      <c r="BG660" s="77"/>
      <c r="BH660" s="77"/>
      <c r="BI660" s="77"/>
    </row>
    <row r="661" spans="1:61" x14ac:dyDescent="0.25">
      <c r="A661" s="62" t="s">
        <v>475</v>
      </c>
      <c r="B661" s="62" t="s">
        <v>475</v>
      </c>
      <c r="C661" s="63"/>
      <c r="D661" s="64"/>
      <c r="E661" s="65"/>
      <c r="F661" s="66"/>
      <c r="G661" s="63"/>
      <c r="H661" s="67"/>
      <c r="I661" s="68"/>
      <c r="J661" s="68"/>
      <c r="K661" s="32"/>
      <c r="L661" s="75">
        <v>661</v>
      </c>
      <c r="M661" s="75"/>
      <c r="N661" s="70"/>
      <c r="O661" s="77" t="s">
        <v>583</v>
      </c>
      <c r="P661" s="79">
        <v>44972.443449074075</v>
      </c>
      <c r="Q661" s="77" t="s">
        <v>1211</v>
      </c>
      <c r="R661" s="77">
        <v>0</v>
      </c>
      <c r="S661" s="77">
        <v>0</v>
      </c>
      <c r="T661" s="77">
        <v>0</v>
      </c>
      <c r="U661" s="77">
        <v>0</v>
      </c>
      <c r="V661" s="77">
        <v>4</v>
      </c>
      <c r="W661" s="82" t="s">
        <v>1947</v>
      </c>
      <c r="X661" s="77"/>
      <c r="Y661" s="77"/>
      <c r="Z661" s="77"/>
      <c r="AA661" s="77"/>
      <c r="AB661" s="77"/>
      <c r="AC661" s="82" t="s">
        <v>2720</v>
      </c>
      <c r="AD661" s="77" t="s">
        <v>2752</v>
      </c>
      <c r="AE661" s="80" t="str">
        <f>HYPERLINK("https://twitter.com/economedicos/status/1625806770802139137")</f>
        <v>https://twitter.com/economedicos/status/1625806770802139137</v>
      </c>
      <c r="AF661" s="79">
        <v>44972.443449074075</v>
      </c>
      <c r="AG661" s="85">
        <v>44972</v>
      </c>
      <c r="AH661" s="82" t="s">
        <v>3411</v>
      </c>
      <c r="AI661" s="77"/>
      <c r="AJ661" s="77"/>
      <c r="AK661" s="77"/>
      <c r="AL661" s="77"/>
      <c r="AM661" s="77"/>
      <c r="AN661" s="77"/>
      <c r="AO661" s="77"/>
      <c r="AP661" s="77"/>
      <c r="AQ661" s="77"/>
      <c r="AR661" s="77"/>
      <c r="AS661" s="77"/>
      <c r="AT661" s="77"/>
      <c r="AU661" s="77"/>
      <c r="AV661" s="80" t="str">
        <f>HYPERLINK("https://pbs.twimg.com/profile_images/1283576393662636034/EjgsMA_W_normal.jpg")</f>
        <v>https://pbs.twimg.com/profile_images/1283576393662636034/EjgsMA_W_normal.jpg</v>
      </c>
      <c r="AW661" s="82" t="s">
        <v>4994</v>
      </c>
      <c r="AX661" s="82" t="s">
        <v>5446</v>
      </c>
      <c r="AY661" s="82" t="s">
        <v>5605</v>
      </c>
      <c r="AZ661" s="82" t="s">
        <v>5726</v>
      </c>
      <c r="BA661" s="82" t="s">
        <v>5615</v>
      </c>
      <c r="BB661" s="82" t="s">
        <v>5615</v>
      </c>
      <c r="BC661" s="82" t="s">
        <v>5726</v>
      </c>
      <c r="BD661" s="82" t="s">
        <v>5605</v>
      </c>
      <c r="BE661" s="77"/>
      <c r="BF661" s="77"/>
      <c r="BG661" s="77"/>
      <c r="BH661" s="77"/>
      <c r="BI661" s="77"/>
    </row>
    <row r="662" spans="1:61" x14ac:dyDescent="0.25">
      <c r="A662" s="62" t="s">
        <v>475</v>
      </c>
      <c r="B662" s="62" t="s">
        <v>475</v>
      </c>
      <c r="C662" s="63"/>
      <c r="D662" s="64"/>
      <c r="E662" s="65"/>
      <c r="F662" s="66"/>
      <c r="G662" s="63"/>
      <c r="H662" s="67"/>
      <c r="I662" s="68"/>
      <c r="J662" s="68"/>
      <c r="K662" s="32"/>
      <c r="L662" s="75">
        <v>662</v>
      </c>
      <c r="M662" s="75"/>
      <c r="N662" s="70"/>
      <c r="O662" s="77" t="s">
        <v>583</v>
      </c>
      <c r="P662" s="79">
        <v>45138.553715277776</v>
      </c>
      <c r="Q662" s="77" t="s">
        <v>1212</v>
      </c>
      <c r="R662" s="77">
        <v>0</v>
      </c>
      <c r="S662" s="77">
        <v>0</v>
      </c>
      <c r="T662" s="77">
        <v>0</v>
      </c>
      <c r="U662" s="77">
        <v>0</v>
      </c>
      <c r="V662" s="77">
        <v>11</v>
      </c>
      <c r="W662" s="82" t="s">
        <v>1947</v>
      </c>
      <c r="X662" s="77"/>
      <c r="Y662" s="77"/>
      <c r="Z662" s="77"/>
      <c r="AA662" s="77"/>
      <c r="AB662" s="77"/>
      <c r="AC662" s="82" t="s">
        <v>2720</v>
      </c>
      <c r="AD662" s="77" t="s">
        <v>2752</v>
      </c>
      <c r="AE662" s="80" t="str">
        <f>HYPERLINK("https://twitter.com/economedicos/status/1686003115386875906")</f>
        <v>https://twitter.com/economedicos/status/1686003115386875906</v>
      </c>
      <c r="AF662" s="79">
        <v>45138.553715277776</v>
      </c>
      <c r="AG662" s="85">
        <v>45138</v>
      </c>
      <c r="AH662" s="82" t="s">
        <v>3412</v>
      </c>
      <c r="AI662" s="77"/>
      <c r="AJ662" s="77"/>
      <c r="AK662" s="77"/>
      <c r="AL662" s="77"/>
      <c r="AM662" s="77"/>
      <c r="AN662" s="77"/>
      <c r="AO662" s="77"/>
      <c r="AP662" s="77"/>
      <c r="AQ662" s="77"/>
      <c r="AR662" s="77"/>
      <c r="AS662" s="77"/>
      <c r="AT662" s="77"/>
      <c r="AU662" s="77"/>
      <c r="AV662" s="80" t="str">
        <f>HYPERLINK("https://pbs.twimg.com/profile_images/1283576393662636034/EjgsMA_W_normal.jpg")</f>
        <v>https://pbs.twimg.com/profile_images/1283576393662636034/EjgsMA_W_normal.jpg</v>
      </c>
      <c r="AW662" s="82" t="s">
        <v>4995</v>
      </c>
      <c r="AX662" s="82" t="s">
        <v>5447</v>
      </c>
      <c r="AY662" s="82" t="s">
        <v>5605</v>
      </c>
      <c r="AZ662" s="82" t="s">
        <v>5727</v>
      </c>
      <c r="BA662" s="82" t="s">
        <v>5615</v>
      </c>
      <c r="BB662" s="82" t="s">
        <v>5615</v>
      </c>
      <c r="BC662" s="82" t="s">
        <v>5727</v>
      </c>
      <c r="BD662" s="82" t="s">
        <v>5605</v>
      </c>
      <c r="BE662" s="77"/>
      <c r="BF662" s="77"/>
      <c r="BG662" s="77"/>
      <c r="BH662" s="77"/>
      <c r="BI662" s="77"/>
    </row>
    <row r="663" spans="1:61" x14ac:dyDescent="0.25">
      <c r="A663" s="62" t="s">
        <v>475</v>
      </c>
      <c r="B663" s="62" t="s">
        <v>475</v>
      </c>
      <c r="C663" s="63"/>
      <c r="D663" s="64"/>
      <c r="E663" s="65"/>
      <c r="F663" s="66"/>
      <c r="G663" s="63"/>
      <c r="H663" s="67"/>
      <c r="I663" s="68"/>
      <c r="J663" s="68"/>
      <c r="K663" s="32"/>
      <c r="L663" s="75">
        <v>663</v>
      </c>
      <c r="M663" s="75"/>
      <c r="N663" s="70"/>
      <c r="O663" s="77" t="s">
        <v>583</v>
      </c>
      <c r="P663" s="79">
        <v>45134.515104166669</v>
      </c>
      <c r="Q663" s="77" t="s">
        <v>1213</v>
      </c>
      <c r="R663" s="77">
        <v>0</v>
      </c>
      <c r="S663" s="77">
        <v>0</v>
      </c>
      <c r="T663" s="77">
        <v>0</v>
      </c>
      <c r="U663" s="77">
        <v>0</v>
      </c>
      <c r="V663" s="77">
        <v>11</v>
      </c>
      <c r="W663" s="82" t="s">
        <v>1947</v>
      </c>
      <c r="X663" s="77"/>
      <c r="Y663" s="77"/>
      <c r="Z663" s="77"/>
      <c r="AA663" s="77"/>
      <c r="AB663" s="77"/>
      <c r="AC663" s="82" t="s">
        <v>2720</v>
      </c>
      <c r="AD663" s="77" t="s">
        <v>2752</v>
      </c>
      <c r="AE663" s="80" t="str">
        <f>HYPERLINK("https://twitter.com/economedicos/status/1684539572292550656")</f>
        <v>https://twitter.com/economedicos/status/1684539572292550656</v>
      </c>
      <c r="AF663" s="79">
        <v>45134.515104166669</v>
      </c>
      <c r="AG663" s="85">
        <v>45134</v>
      </c>
      <c r="AH663" s="82" t="s">
        <v>3413</v>
      </c>
      <c r="AI663" s="77"/>
      <c r="AJ663" s="77"/>
      <c r="AK663" s="77"/>
      <c r="AL663" s="77"/>
      <c r="AM663" s="77"/>
      <c r="AN663" s="77"/>
      <c r="AO663" s="77"/>
      <c r="AP663" s="77"/>
      <c r="AQ663" s="77"/>
      <c r="AR663" s="77"/>
      <c r="AS663" s="77"/>
      <c r="AT663" s="77"/>
      <c r="AU663" s="77"/>
      <c r="AV663" s="80" t="str">
        <f>HYPERLINK("https://pbs.twimg.com/profile_images/1283576393662636034/EjgsMA_W_normal.jpg")</f>
        <v>https://pbs.twimg.com/profile_images/1283576393662636034/EjgsMA_W_normal.jpg</v>
      </c>
      <c r="AW663" s="82" t="s">
        <v>4996</v>
      </c>
      <c r="AX663" s="82" t="s">
        <v>5448</v>
      </c>
      <c r="AY663" s="82" t="s">
        <v>5605</v>
      </c>
      <c r="AZ663" s="82" t="s">
        <v>5728</v>
      </c>
      <c r="BA663" s="82" t="s">
        <v>5615</v>
      </c>
      <c r="BB663" s="82" t="s">
        <v>5615</v>
      </c>
      <c r="BC663" s="82" t="s">
        <v>5728</v>
      </c>
      <c r="BD663" s="82" t="s">
        <v>5605</v>
      </c>
      <c r="BE663" s="77"/>
      <c r="BF663" s="77"/>
      <c r="BG663" s="77"/>
      <c r="BH663" s="77"/>
      <c r="BI663" s="77"/>
    </row>
    <row r="664" spans="1:61" x14ac:dyDescent="0.25">
      <c r="A664" s="62" t="s">
        <v>475</v>
      </c>
      <c r="B664" s="62" t="s">
        <v>475</v>
      </c>
      <c r="C664" s="63"/>
      <c r="D664" s="64"/>
      <c r="E664" s="65"/>
      <c r="F664" s="66"/>
      <c r="G664" s="63"/>
      <c r="H664" s="67"/>
      <c r="I664" s="68"/>
      <c r="J664" s="68"/>
      <c r="K664" s="32"/>
      <c r="L664" s="75">
        <v>664</v>
      </c>
      <c r="M664" s="75"/>
      <c r="N664" s="70"/>
      <c r="O664" s="77" t="s">
        <v>583</v>
      </c>
      <c r="P664" s="79">
        <v>45132.460543981484</v>
      </c>
      <c r="Q664" s="77" t="s">
        <v>1214</v>
      </c>
      <c r="R664" s="77">
        <v>0</v>
      </c>
      <c r="S664" s="77">
        <v>0</v>
      </c>
      <c r="T664" s="77">
        <v>0</v>
      </c>
      <c r="U664" s="77">
        <v>0</v>
      </c>
      <c r="V664" s="77">
        <v>18</v>
      </c>
      <c r="W664" s="82" t="s">
        <v>1947</v>
      </c>
      <c r="X664" s="77"/>
      <c r="Y664" s="77"/>
      <c r="Z664" s="77"/>
      <c r="AA664" s="77"/>
      <c r="AB664" s="77"/>
      <c r="AC664" s="82" t="s">
        <v>2720</v>
      </c>
      <c r="AD664" s="77" t="s">
        <v>2752</v>
      </c>
      <c r="AE664" s="80" t="str">
        <f>HYPERLINK("https://twitter.com/economedicos/status/1683795022859079681")</f>
        <v>https://twitter.com/economedicos/status/1683795022859079681</v>
      </c>
      <c r="AF664" s="79">
        <v>45132.460543981484</v>
      </c>
      <c r="AG664" s="85">
        <v>45132</v>
      </c>
      <c r="AH664" s="82" t="s">
        <v>3414</v>
      </c>
      <c r="AI664" s="77"/>
      <c r="AJ664" s="77"/>
      <c r="AK664" s="77"/>
      <c r="AL664" s="77"/>
      <c r="AM664" s="77"/>
      <c r="AN664" s="77"/>
      <c r="AO664" s="77"/>
      <c r="AP664" s="77"/>
      <c r="AQ664" s="77"/>
      <c r="AR664" s="77"/>
      <c r="AS664" s="77"/>
      <c r="AT664" s="77"/>
      <c r="AU664" s="77"/>
      <c r="AV664" s="80" t="str">
        <f>HYPERLINK("https://pbs.twimg.com/profile_images/1283576393662636034/EjgsMA_W_normal.jpg")</f>
        <v>https://pbs.twimg.com/profile_images/1283576393662636034/EjgsMA_W_normal.jpg</v>
      </c>
      <c r="AW664" s="82" t="s">
        <v>4997</v>
      </c>
      <c r="AX664" s="82" t="s">
        <v>5449</v>
      </c>
      <c r="AY664" s="82" t="s">
        <v>5605</v>
      </c>
      <c r="AZ664" s="82" t="s">
        <v>5729</v>
      </c>
      <c r="BA664" s="82" t="s">
        <v>5615</v>
      </c>
      <c r="BB664" s="82" t="s">
        <v>5615</v>
      </c>
      <c r="BC664" s="82" t="s">
        <v>5729</v>
      </c>
      <c r="BD664" s="82" t="s">
        <v>5605</v>
      </c>
      <c r="BE664" s="77"/>
      <c r="BF664" s="77"/>
      <c r="BG664" s="77"/>
      <c r="BH664" s="77"/>
      <c r="BI664" s="77"/>
    </row>
    <row r="665" spans="1:61" x14ac:dyDescent="0.25">
      <c r="A665" s="62" t="s">
        <v>475</v>
      </c>
      <c r="B665" s="62" t="s">
        <v>475</v>
      </c>
      <c r="C665" s="63"/>
      <c r="D665" s="64"/>
      <c r="E665" s="65"/>
      <c r="F665" s="66"/>
      <c r="G665" s="63"/>
      <c r="H665" s="67"/>
      <c r="I665" s="68"/>
      <c r="J665" s="68"/>
      <c r="K665" s="32"/>
      <c r="L665" s="75">
        <v>665</v>
      </c>
      <c r="M665" s="75"/>
      <c r="N665" s="70"/>
      <c r="O665" s="77" t="s">
        <v>583</v>
      </c>
      <c r="P665" s="79">
        <v>45131.453460648147</v>
      </c>
      <c r="Q665" s="77" t="s">
        <v>1215</v>
      </c>
      <c r="R665" s="77">
        <v>0</v>
      </c>
      <c r="S665" s="77">
        <v>0</v>
      </c>
      <c r="T665" s="77">
        <v>0</v>
      </c>
      <c r="U665" s="77">
        <v>0</v>
      </c>
      <c r="V665" s="77">
        <v>18</v>
      </c>
      <c r="W665" s="82" t="s">
        <v>1947</v>
      </c>
      <c r="X665" s="77"/>
      <c r="Y665" s="77"/>
      <c r="Z665" s="77"/>
      <c r="AA665" s="77"/>
      <c r="AB665" s="77"/>
      <c r="AC665" s="82" t="s">
        <v>2720</v>
      </c>
      <c r="AD665" s="77" t="s">
        <v>2752</v>
      </c>
      <c r="AE665" s="80" t="str">
        <f>HYPERLINK("https://twitter.com/economedicos/status/1683430067534274560")</f>
        <v>https://twitter.com/economedicos/status/1683430067534274560</v>
      </c>
      <c r="AF665" s="79">
        <v>45131.453460648147</v>
      </c>
      <c r="AG665" s="85">
        <v>45131</v>
      </c>
      <c r="AH665" s="82" t="s">
        <v>3415</v>
      </c>
      <c r="AI665" s="77"/>
      <c r="AJ665" s="77"/>
      <c r="AK665" s="77"/>
      <c r="AL665" s="77"/>
      <c r="AM665" s="77"/>
      <c r="AN665" s="77"/>
      <c r="AO665" s="77"/>
      <c r="AP665" s="77"/>
      <c r="AQ665" s="77"/>
      <c r="AR665" s="77"/>
      <c r="AS665" s="77"/>
      <c r="AT665" s="77"/>
      <c r="AU665" s="77"/>
      <c r="AV665" s="80" t="str">
        <f>HYPERLINK("https://pbs.twimg.com/profile_images/1283576393662636034/EjgsMA_W_normal.jpg")</f>
        <v>https://pbs.twimg.com/profile_images/1283576393662636034/EjgsMA_W_normal.jpg</v>
      </c>
      <c r="AW665" s="82" t="s">
        <v>4998</v>
      </c>
      <c r="AX665" s="82" t="s">
        <v>5450</v>
      </c>
      <c r="AY665" s="82" t="s">
        <v>5605</v>
      </c>
      <c r="AZ665" s="82" t="s">
        <v>5730</v>
      </c>
      <c r="BA665" s="82" t="s">
        <v>5615</v>
      </c>
      <c r="BB665" s="82" t="s">
        <v>5615</v>
      </c>
      <c r="BC665" s="82" t="s">
        <v>5730</v>
      </c>
      <c r="BD665" s="82" t="s">
        <v>5605</v>
      </c>
      <c r="BE665" s="77"/>
      <c r="BF665" s="77"/>
      <c r="BG665" s="77"/>
      <c r="BH665" s="77"/>
      <c r="BI665" s="77"/>
    </row>
    <row r="666" spans="1:61" x14ac:dyDescent="0.25">
      <c r="A666" s="62" t="s">
        <v>475</v>
      </c>
      <c r="B666" s="62" t="s">
        <v>475</v>
      </c>
      <c r="C666" s="63"/>
      <c r="D666" s="64"/>
      <c r="E666" s="65"/>
      <c r="F666" s="66"/>
      <c r="G666" s="63"/>
      <c r="H666" s="67"/>
      <c r="I666" s="68"/>
      <c r="J666" s="68"/>
      <c r="K666" s="32"/>
      <c r="L666" s="75">
        <v>666</v>
      </c>
      <c r="M666" s="75"/>
      <c r="N666" s="70"/>
      <c r="O666" s="77" t="s">
        <v>583</v>
      </c>
      <c r="P666" s="79">
        <v>45126.458310185182</v>
      </c>
      <c r="Q666" s="77" t="s">
        <v>1216</v>
      </c>
      <c r="R666" s="77">
        <v>0</v>
      </c>
      <c r="S666" s="77">
        <v>0</v>
      </c>
      <c r="T666" s="77">
        <v>0</v>
      </c>
      <c r="U666" s="77">
        <v>0</v>
      </c>
      <c r="V666" s="77">
        <v>12</v>
      </c>
      <c r="W666" s="82" t="s">
        <v>1947</v>
      </c>
      <c r="X666" s="77"/>
      <c r="Y666" s="77"/>
      <c r="Z666" s="77"/>
      <c r="AA666" s="77"/>
      <c r="AB666" s="77"/>
      <c r="AC666" s="82" t="s">
        <v>2720</v>
      </c>
      <c r="AD666" s="77" t="s">
        <v>2752</v>
      </c>
      <c r="AE666" s="80" t="str">
        <f>HYPERLINK("https://twitter.com/economedicos/status/1681619885779042306")</f>
        <v>https://twitter.com/economedicos/status/1681619885779042306</v>
      </c>
      <c r="AF666" s="79">
        <v>45126.458310185182</v>
      </c>
      <c r="AG666" s="85">
        <v>45126</v>
      </c>
      <c r="AH666" s="82" t="s">
        <v>3416</v>
      </c>
      <c r="AI666" s="77"/>
      <c r="AJ666" s="77"/>
      <c r="AK666" s="77"/>
      <c r="AL666" s="77"/>
      <c r="AM666" s="77"/>
      <c r="AN666" s="77"/>
      <c r="AO666" s="77"/>
      <c r="AP666" s="77"/>
      <c r="AQ666" s="77"/>
      <c r="AR666" s="77"/>
      <c r="AS666" s="77"/>
      <c r="AT666" s="77"/>
      <c r="AU666" s="77"/>
      <c r="AV666" s="80" t="str">
        <f>HYPERLINK("https://pbs.twimg.com/profile_images/1283576393662636034/EjgsMA_W_normal.jpg")</f>
        <v>https://pbs.twimg.com/profile_images/1283576393662636034/EjgsMA_W_normal.jpg</v>
      </c>
      <c r="AW666" s="82" t="s">
        <v>4999</v>
      </c>
      <c r="AX666" s="82" t="s">
        <v>5451</v>
      </c>
      <c r="AY666" s="82" t="s">
        <v>5605</v>
      </c>
      <c r="AZ666" s="82" t="s">
        <v>5731</v>
      </c>
      <c r="BA666" s="82" t="s">
        <v>5615</v>
      </c>
      <c r="BB666" s="82" t="s">
        <v>5615</v>
      </c>
      <c r="BC666" s="82" t="s">
        <v>5731</v>
      </c>
      <c r="BD666" s="82" t="s">
        <v>5605</v>
      </c>
      <c r="BE666" s="77"/>
      <c r="BF666" s="77"/>
      <c r="BG666" s="77"/>
      <c r="BH666" s="77"/>
      <c r="BI666" s="77"/>
    </row>
    <row r="667" spans="1:61" x14ac:dyDescent="0.25">
      <c r="A667" s="62" t="s">
        <v>475</v>
      </c>
      <c r="B667" s="62" t="s">
        <v>475</v>
      </c>
      <c r="C667" s="63"/>
      <c r="D667" s="64"/>
      <c r="E667" s="65"/>
      <c r="F667" s="66"/>
      <c r="G667" s="63"/>
      <c r="H667" s="67"/>
      <c r="I667" s="68"/>
      <c r="J667" s="68"/>
      <c r="K667" s="32"/>
      <c r="L667" s="75">
        <v>667</v>
      </c>
      <c r="M667" s="75"/>
      <c r="N667" s="70"/>
      <c r="O667" s="77" t="s">
        <v>583</v>
      </c>
      <c r="P667" s="79">
        <v>45117.471018518518</v>
      </c>
      <c r="Q667" s="77" t="s">
        <v>1217</v>
      </c>
      <c r="R667" s="77">
        <v>0</v>
      </c>
      <c r="S667" s="77">
        <v>0</v>
      </c>
      <c r="T667" s="77">
        <v>0</v>
      </c>
      <c r="U667" s="77">
        <v>0</v>
      </c>
      <c r="V667" s="77">
        <v>10</v>
      </c>
      <c r="W667" s="82" t="s">
        <v>1947</v>
      </c>
      <c r="X667" s="77"/>
      <c r="Y667" s="77"/>
      <c r="Z667" s="77"/>
      <c r="AA667" s="77"/>
      <c r="AB667" s="77"/>
      <c r="AC667" s="82" t="s">
        <v>2720</v>
      </c>
      <c r="AD667" s="77" t="s">
        <v>2752</v>
      </c>
      <c r="AE667" s="80" t="str">
        <f>HYPERLINK("https://twitter.com/economedicos/status/1678362999566786561")</f>
        <v>https://twitter.com/economedicos/status/1678362999566786561</v>
      </c>
      <c r="AF667" s="79">
        <v>45117.471018518518</v>
      </c>
      <c r="AG667" s="85">
        <v>45117</v>
      </c>
      <c r="AH667" s="82" t="s">
        <v>3417</v>
      </c>
      <c r="AI667" s="77"/>
      <c r="AJ667" s="77"/>
      <c r="AK667" s="77"/>
      <c r="AL667" s="77"/>
      <c r="AM667" s="77"/>
      <c r="AN667" s="77"/>
      <c r="AO667" s="77"/>
      <c r="AP667" s="77"/>
      <c r="AQ667" s="77"/>
      <c r="AR667" s="77"/>
      <c r="AS667" s="77"/>
      <c r="AT667" s="77"/>
      <c r="AU667" s="77"/>
      <c r="AV667" s="80" t="str">
        <f>HYPERLINK("https://pbs.twimg.com/profile_images/1283576393662636034/EjgsMA_W_normal.jpg")</f>
        <v>https://pbs.twimg.com/profile_images/1283576393662636034/EjgsMA_W_normal.jpg</v>
      </c>
      <c r="AW667" s="82" t="s">
        <v>5000</v>
      </c>
      <c r="AX667" s="82" t="s">
        <v>5452</v>
      </c>
      <c r="AY667" s="82" t="s">
        <v>5605</v>
      </c>
      <c r="AZ667" s="82" t="s">
        <v>5732</v>
      </c>
      <c r="BA667" s="82" t="s">
        <v>5615</v>
      </c>
      <c r="BB667" s="82" t="s">
        <v>5615</v>
      </c>
      <c r="BC667" s="82" t="s">
        <v>5732</v>
      </c>
      <c r="BD667" s="82" t="s">
        <v>5605</v>
      </c>
      <c r="BE667" s="77"/>
      <c r="BF667" s="77"/>
      <c r="BG667" s="77"/>
      <c r="BH667" s="77"/>
      <c r="BI667" s="77"/>
    </row>
    <row r="668" spans="1:61" x14ac:dyDescent="0.25">
      <c r="A668" s="62" t="s">
        <v>475</v>
      </c>
      <c r="B668" s="62" t="s">
        <v>475</v>
      </c>
      <c r="C668" s="63"/>
      <c r="D668" s="64"/>
      <c r="E668" s="65"/>
      <c r="F668" s="66"/>
      <c r="G668" s="63"/>
      <c r="H668" s="67"/>
      <c r="I668" s="68"/>
      <c r="J668" s="68"/>
      <c r="K668" s="32"/>
      <c r="L668" s="75">
        <v>668</v>
      </c>
      <c r="M668" s="75"/>
      <c r="N668" s="70"/>
      <c r="O668" s="77" t="s">
        <v>583</v>
      </c>
      <c r="P668" s="79">
        <v>45105.443541666667</v>
      </c>
      <c r="Q668" s="77" t="s">
        <v>1218</v>
      </c>
      <c r="R668" s="77">
        <v>0</v>
      </c>
      <c r="S668" s="77">
        <v>0</v>
      </c>
      <c r="T668" s="77">
        <v>0</v>
      </c>
      <c r="U668" s="77">
        <v>0</v>
      </c>
      <c r="V668" s="77">
        <v>10</v>
      </c>
      <c r="W668" s="82" t="s">
        <v>1947</v>
      </c>
      <c r="X668" s="77"/>
      <c r="Y668" s="77"/>
      <c r="Z668" s="77"/>
      <c r="AA668" s="77"/>
      <c r="AB668" s="77"/>
      <c r="AC668" s="82" t="s">
        <v>2720</v>
      </c>
      <c r="AD668" s="77" t="s">
        <v>2752</v>
      </c>
      <c r="AE668" s="80" t="str">
        <f>HYPERLINK("https://twitter.com/economedicos/status/1674004389739077632")</f>
        <v>https://twitter.com/economedicos/status/1674004389739077632</v>
      </c>
      <c r="AF668" s="79">
        <v>45105.443541666667</v>
      </c>
      <c r="AG668" s="85">
        <v>45105</v>
      </c>
      <c r="AH668" s="82" t="s">
        <v>3418</v>
      </c>
      <c r="AI668" s="77"/>
      <c r="AJ668" s="77"/>
      <c r="AK668" s="77"/>
      <c r="AL668" s="77"/>
      <c r="AM668" s="77"/>
      <c r="AN668" s="77"/>
      <c r="AO668" s="77"/>
      <c r="AP668" s="77"/>
      <c r="AQ668" s="77"/>
      <c r="AR668" s="77"/>
      <c r="AS668" s="77"/>
      <c r="AT668" s="77"/>
      <c r="AU668" s="77"/>
      <c r="AV668" s="80" t="str">
        <f>HYPERLINK("https://pbs.twimg.com/profile_images/1283576393662636034/EjgsMA_W_normal.jpg")</f>
        <v>https://pbs.twimg.com/profile_images/1283576393662636034/EjgsMA_W_normal.jpg</v>
      </c>
      <c r="AW668" s="82" t="s">
        <v>5001</v>
      </c>
      <c r="AX668" s="82" t="s">
        <v>5453</v>
      </c>
      <c r="AY668" s="82" t="s">
        <v>5605</v>
      </c>
      <c r="AZ668" s="82" t="s">
        <v>5733</v>
      </c>
      <c r="BA668" s="82" t="s">
        <v>5615</v>
      </c>
      <c r="BB668" s="82" t="s">
        <v>5615</v>
      </c>
      <c r="BC668" s="82" t="s">
        <v>5733</v>
      </c>
      <c r="BD668" s="82" t="s">
        <v>5605</v>
      </c>
      <c r="BE668" s="77"/>
      <c r="BF668" s="77"/>
      <c r="BG668" s="77"/>
      <c r="BH668" s="77"/>
      <c r="BI668" s="77"/>
    </row>
    <row r="669" spans="1:61" x14ac:dyDescent="0.25">
      <c r="A669" s="62" t="s">
        <v>475</v>
      </c>
      <c r="B669" s="62" t="s">
        <v>475</v>
      </c>
      <c r="C669" s="63"/>
      <c r="D669" s="64"/>
      <c r="E669" s="65"/>
      <c r="F669" s="66"/>
      <c r="G669" s="63"/>
      <c r="H669" s="67"/>
      <c r="I669" s="68"/>
      <c r="J669" s="68"/>
      <c r="K669" s="32"/>
      <c r="L669" s="75">
        <v>669</v>
      </c>
      <c r="M669" s="75"/>
      <c r="N669" s="70"/>
      <c r="O669" s="77" t="s">
        <v>583</v>
      </c>
      <c r="P669" s="79">
        <v>45097.453750000001</v>
      </c>
      <c r="Q669" s="77" t="s">
        <v>1219</v>
      </c>
      <c r="R669" s="77">
        <v>0</v>
      </c>
      <c r="S669" s="77">
        <v>0</v>
      </c>
      <c r="T669" s="77">
        <v>0</v>
      </c>
      <c r="U669" s="77">
        <v>0</v>
      </c>
      <c r="V669" s="77">
        <v>4</v>
      </c>
      <c r="W669" s="82" t="s">
        <v>1947</v>
      </c>
      <c r="X669" s="77"/>
      <c r="Y669" s="77"/>
      <c r="Z669" s="77"/>
      <c r="AA669" s="77"/>
      <c r="AB669" s="77"/>
      <c r="AC669" s="82" t="s">
        <v>2720</v>
      </c>
      <c r="AD669" s="77" t="s">
        <v>2752</v>
      </c>
      <c r="AE669" s="80" t="str">
        <f>HYPERLINK("https://twitter.com/economedicos/status/1671108984349028353")</f>
        <v>https://twitter.com/economedicos/status/1671108984349028353</v>
      </c>
      <c r="AF669" s="79">
        <v>45097.453750000001</v>
      </c>
      <c r="AG669" s="85">
        <v>45097</v>
      </c>
      <c r="AH669" s="82" t="s">
        <v>3419</v>
      </c>
      <c r="AI669" s="77"/>
      <c r="AJ669" s="77"/>
      <c r="AK669" s="77"/>
      <c r="AL669" s="77"/>
      <c r="AM669" s="77"/>
      <c r="AN669" s="77"/>
      <c r="AO669" s="77"/>
      <c r="AP669" s="77"/>
      <c r="AQ669" s="77"/>
      <c r="AR669" s="77"/>
      <c r="AS669" s="77"/>
      <c r="AT669" s="77"/>
      <c r="AU669" s="77"/>
      <c r="AV669" s="80" t="str">
        <f>HYPERLINK("https://pbs.twimg.com/profile_images/1283576393662636034/EjgsMA_W_normal.jpg")</f>
        <v>https://pbs.twimg.com/profile_images/1283576393662636034/EjgsMA_W_normal.jpg</v>
      </c>
      <c r="AW669" s="82" t="s">
        <v>5002</v>
      </c>
      <c r="AX669" s="82" t="s">
        <v>5454</v>
      </c>
      <c r="AY669" s="82" t="s">
        <v>5605</v>
      </c>
      <c r="AZ669" s="82" t="s">
        <v>5734</v>
      </c>
      <c r="BA669" s="82" t="s">
        <v>5615</v>
      </c>
      <c r="BB669" s="82" t="s">
        <v>5615</v>
      </c>
      <c r="BC669" s="82" t="s">
        <v>5734</v>
      </c>
      <c r="BD669" s="82" t="s">
        <v>5605</v>
      </c>
      <c r="BE669" s="77"/>
      <c r="BF669" s="77"/>
      <c r="BG669" s="77"/>
      <c r="BH669" s="77"/>
      <c r="BI669" s="77"/>
    </row>
    <row r="670" spans="1:61" x14ac:dyDescent="0.25">
      <c r="A670" s="62" t="s">
        <v>475</v>
      </c>
      <c r="B670" s="62" t="s">
        <v>475</v>
      </c>
      <c r="C670" s="63"/>
      <c r="D670" s="64"/>
      <c r="E670" s="65"/>
      <c r="F670" s="66"/>
      <c r="G670" s="63"/>
      <c r="H670" s="67"/>
      <c r="I670" s="68"/>
      <c r="J670" s="68"/>
      <c r="K670" s="32"/>
      <c r="L670" s="75">
        <v>670</v>
      </c>
      <c r="M670" s="75"/>
      <c r="N670" s="70"/>
      <c r="O670" s="77" t="s">
        <v>583</v>
      </c>
      <c r="P670" s="79">
        <v>45096.466168981482</v>
      </c>
      <c r="Q670" s="77" t="s">
        <v>1220</v>
      </c>
      <c r="R670" s="77">
        <v>0</v>
      </c>
      <c r="S670" s="77">
        <v>0</v>
      </c>
      <c r="T670" s="77">
        <v>0</v>
      </c>
      <c r="U670" s="77">
        <v>0</v>
      </c>
      <c r="V670" s="77">
        <v>10</v>
      </c>
      <c r="W670" s="82" t="s">
        <v>1947</v>
      </c>
      <c r="X670" s="77"/>
      <c r="Y670" s="77"/>
      <c r="Z670" s="77"/>
      <c r="AA670" s="77"/>
      <c r="AB670" s="77"/>
      <c r="AC670" s="82" t="s">
        <v>2720</v>
      </c>
      <c r="AD670" s="77" t="s">
        <v>2752</v>
      </c>
      <c r="AE670" s="80" t="str">
        <f>HYPERLINK("https://twitter.com/economedicos/status/1670751098477457411")</f>
        <v>https://twitter.com/economedicos/status/1670751098477457411</v>
      </c>
      <c r="AF670" s="79">
        <v>45096.466168981482</v>
      </c>
      <c r="AG670" s="85">
        <v>45096</v>
      </c>
      <c r="AH670" s="82" t="s">
        <v>3420</v>
      </c>
      <c r="AI670" s="77"/>
      <c r="AJ670" s="77"/>
      <c r="AK670" s="77"/>
      <c r="AL670" s="77"/>
      <c r="AM670" s="77"/>
      <c r="AN670" s="77"/>
      <c r="AO670" s="77"/>
      <c r="AP670" s="77"/>
      <c r="AQ670" s="77"/>
      <c r="AR670" s="77"/>
      <c r="AS670" s="77"/>
      <c r="AT670" s="77"/>
      <c r="AU670" s="77"/>
      <c r="AV670" s="80" t="str">
        <f>HYPERLINK("https://pbs.twimg.com/profile_images/1283576393662636034/EjgsMA_W_normal.jpg")</f>
        <v>https://pbs.twimg.com/profile_images/1283576393662636034/EjgsMA_W_normal.jpg</v>
      </c>
      <c r="AW670" s="82" t="s">
        <v>5003</v>
      </c>
      <c r="AX670" s="82" t="s">
        <v>5455</v>
      </c>
      <c r="AY670" s="82" t="s">
        <v>5605</v>
      </c>
      <c r="AZ670" s="82" t="s">
        <v>5735</v>
      </c>
      <c r="BA670" s="82" t="s">
        <v>5615</v>
      </c>
      <c r="BB670" s="82" t="s">
        <v>5615</v>
      </c>
      <c r="BC670" s="82" t="s">
        <v>5735</v>
      </c>
      <c r="BD670" s="82" t="s">
        <v>5605</v>
      </c>
      <c r="BE670" s="77"/>
      <c r="BF670" s="77"/>
      <c r="BG670" s="77"/>
      <c r="BH670" s="77"/>
      <c r="BI670" s="77"/>
    </row>
    <row r="671" spans="1:61" x14ac:dyDescent="0.25">
      <c r="A671" s="62" t="s">
        <v>475</v>
      </c>
      <c r="B671" s="62" t="s">
        <v>475</v>
      </c>
      <c r="C671" s="63"/>
      <c r="D671" s="64"/>
      <c r="E671" s="65"/>
      <c r="F671" s="66"/>
      <c r="G671" s="63"/>
      <c r="H671" s="67"/>
      <c r="I671" s="68"/>
      <c r="J671" s="68"/>
      <c r="K671" s="32"/>
      <c r="L671" s="75">
        <v>671</v>
      </c>
      <c r="M671" s="75"/>
      <c r="N671" s="70"/>
      <c r="O671" s="77" t="s">
        <v>583</v>
      </c>
      <c r="P671" s="79">
        <v>45092.508009259262</v>
      </c>
      <c r="Q671" s="77" t="s">
        <v>1221</v>
      </c>
      <c r="R671" s="77">
        <v>0</v>
      </c>
      <c r="S671" s="77">
        <v>0</v>
      </c>
      <c r="T671" s="77">
        <v>0</v>
      </c>
      <c r="U671" s="77">
        <v>0</v>
      </c>
      <c r="V671" s="77">
        <v>19</v>
      </c>
      <c r="W671" s="82" t="s">
        <v>1947</v>
      </c>
      <c r="X671" s="77"/>
      <c r="Y671" s="77"/>
      <c r="Z671" s="77"/>
      <c r="AA671" s="77"/>
      <c r="AB671" s="77"/>
      <c r="AC671" s="82" t="s">
        <v>2720</v>
      </c>
      <c r="AD671" s="77" t="s">
        <v>2752</v>
      </c>
      <c r="AE671" s="80" t="str">
        <f>HYPERLINK("https://twitter.com/economedicos/status/1669316707108659200")</f>
        <v>https://twitter.com/economedicos/status/1669316707108659200</v>
      </c>
      <c r="AF671" s="79">
        <v>45092.508009259262</v>
      </c>
      <c r="AG671" s="85">
        <v>45092</v>
      </c>
      <c r="AH671" s="82" t="s">
        <v>3421</v>
      </c>
      <c r="AI671" s="77"/>
      <c r="AJ671" s="77"/>
      <c r="AK671" s="77"/>
      <c r="AL671" s="77"/>
      <c r="AM671" s="77"/>
      <c r="AN671" s="77"/>
      <c r="AO671" s="77"/>
      <c r="AP671" s="77"/>
      <c r="AQ671" s="77"/>
      <c r="AR671" s="77"/>
      <c r="AS671" s="77"/>
      <c r="AT671" s="77"/>
      <c r="AU671" s="77"/>
      <c r="AV671" s="80" t="str">
        <f>HYPERLINK("https://pbs.twimg.com/profile_images/1283576393662636034/EjgsMA_W_normal.jpg")</f>
        <v>https://pbs.twimg.com/profile_images/1283576393662636034/EjgsMA_W_normal.jpg</v>
      </c>
      <c r="AW671" s="82" t="s">
        <v>5004</v>
      </c>
      <c r="AX671" s="82" t="s">
        <v>5456</v>
      </c>
      <c r="AY671" s="82" t="s">
        <v>5605</v>
      </c>
      <c r="AZ671" s="82" t="s">
        <v>5736</v>
      </c>
      <c r="BA671" s="82" t="s">
        <v>5615</v>
      </c>
      <c r="BB671" s="82" t="s">
        <v>5615</v>
      </c>
      <c r="BC671" s="82" t="s">
        <v>5736</v>
      </c>
      <c r="BD671" s="82" t="s">
        <v>5605</v>
      </c>
      <c r="BE671" s="77"/>
      <c r="BF671" s="77"/>
      <c r="BG671" s="77"/>
      <c r="BH671" s="77"/>
      <c r="BI671" s="77"/>
    </row>
    <row r="672" spans="1:61" x14ac:dyDescent="0.25">
      <c r="A672" s="62" t="s">
        <v>475</v>
      </c>
      <c r="B672" s="62" t="s">
        <v>475</v>
      </c>
      <c r="C672" s="63"/>
      <c r="D672" s="64"/>
      <c r="E672" s="65"/>
      <c r="F672" s="66"/>
      <c r="G672" s="63"/>
      <c r="H672" s="67"/>
      <c r="I672" s="68"/>
      <c r="J672" s="68"/>
      <c r="K672" s="32"/>
      <c r="L672" s="75">
        <v>672</v>
      </c>
      <c r="M672" s="75"/>
      <c r="N672" s="70"/>
      <c r="O672" s="77" t="s">
        <v>583</v>
      </c>
      <c r="P672" s="79">
        <v>45085.411979166667</v>
      </c>
      <c r="Q672" s="77" t="s">
        <v>1222</v>
      </c>
      <c r="R672" s="77">
        <v>0</v>
      </c>
      <c r="S672" s="77">
        <v>0</v>
      </c>
      <c r="T672" s="77">
        <v>0</v>
      </c>
      <c r="U672" s="77">
        <v>0</v>
      </c>
      <c r="V672" s="77">
        <v>2</v>
      </c>
      <c r="W672" s="82" t="s">
        <v>1947</v>
      </c>
      <c r="X672" s="77"/>
      <c r="Y672" s="77"/>
      <c r="Z672" s="77"/>
      <c r="AA672" s="77"/>
      <c r="AB672" s="77"/>
      <c r="AC672" s="82" t="s">
        <v>2720</v>
      </c>
      <c r="AD672" s="77" t="s">
        <v>2752</v>
      </c>
      <c r="AE672" s="80" t="str">
        <f>HYPERLINK("https://twitter.com/economedicos/status/1666745194019192835")</f>
        <v>https://twitter.com/economedicos/status/1666745194019192835</v>
      </c>
      <c r="AF672" s="79">
        <v>45085.411979166667</v>
      </c>
      <c r="AG672" s="85">
        <v>45085</v>
      </c>
      <c r="AH672" s="82" t="s">
        <v>3422</v>
      </c>
      <c r="AI672" s="77"/>
      <c r="AJ672" s="77"/>
      <c r="AK672" s="77"/>
      <c r="AL672" s="77"/>
      <c r="AM672" s="77"/>
      <c r="AN672" s="77"/>
      <c r="AO672" s="77"/>
      <c r="AP672" s="77"/>
      <c r="AQ672" s="77"/>
      <c r="AR672" s="77"/>
      <c r="AS672" s="77"/>
      <c r="AT672" s="77"/>
      <c r="AU672" s="77"/>
      <c r="AV672" s="80" t="str">
        <f>HYPERLINK("https://pbs.twimg.com/profile_images/1283576393662636034/EjgsMA_W_normal.jpg")</f>
        <v>https://pbs.twimg.com/profile_images/1283576393662636034/EjgsMA_W_normal.jpg</v>
      </c>
      <c r="AW672" s="82" t="s">
        <v>5005</v>
      </c>
      <c r="AX672" s="82" t="s">
        <v>5457</v>
      </c>
      <c r="AY672" s="82" t="s">
        <v>5605</v>
      </c>
      <c r="AZ672" s="82" t="s">
        <v>5737</v>
      </c>
      <c r="BA672" s="82" t="s">
        <v>5615</v>
      </c>
      <c r="BB672" s="82" t="s">
        <v>5615</v>
      </c>
      <c r="BC672" s="82" t="s">
        <v>5737</v>
      </c>
      <c r="BD672" s="82" t="s">
        <v>5605</v>
      </c>
      <c r="BE672" s="77"/>
      <c r="BF672" s="77"/>
      <c r="BG672" s="77"/>
      <c r="BH672" s="77"/>
      <c r="BI672" s="77"/>
    </row>
    <row r="673" spans="1:61" x14ac:dyDescent="0.25">
      <c r="A673" s="62" t="s">
        <v>475</v>
      </c>
      <c r="B673" s="62" t="s">
        <v>475</v>
      </c>
      <c r="C673" s="63"/>
      <c r="D673" s="64"/>
      <c r="E673" s="65"/>
      <c r="F673" s="66"/>
      <c r="G673" s="63"/>
      <c r="H673" s="67"/>
      <c r="I673" s="68"/>
      <c r="J673" s="68"/>
      <c r="K673" s="32"/>
      <c r="L673" s="75">
        <v>673</v>
      </c>
      <c r="M673" s="75"/>
      <c r="N673" s="70"/>
      <c r="O673" s="77" t="s">
        <v>583</v>
      </c>
      <c r="P673" s="79">
        <v>45084.469965277778</v>
      </c>
      <c r="Q673" s="77" t="s">
        <v>1223</v>
      </c>
      <c r="R673" s="77">
        <v>0</v>
      </c>
      <c r="S673" s="77">
        <v>0</v>
      </c>
      <c r="T673" s="77">
        <v>0</v>
      </c>
      <c r="U673" s="77">
        <v>0</v>
      </c>
      <c r="V673" s="77">
        <v>4</v>
      </c>
      <c r="W673" s="82" t="s">
        <v>1947</v>
      </c>
      <c r="X673" s="77"/>
      <c r="Y673" s="77"/>
      <c r="Z673" s="77"/>
      <c r="AA673" s="77"/>
      <c r="AB673" s="77"/>
      <c r="AC673" s="82" t="s">
        <v>2720</v>
      </c>
      <c r="AD673" s="77" t="s">
        <v>2752</v>
      </c>
      <c r="AE673" s="80" t="str">
        <f>HYPERLINK("https://twitter.com/economedicos/status/1666403818693697539")</f>
        <v>https://twitter.com/economedicos/status/1666403818693697539</v>
      </c>
      <c r="AF673" s="79">
        <v>45084.469965277778</v>
      </c>
      <c r="AG673" s="85">
        <v>45084</v>
      </c>
      <c r="AH673" s="82" t="s">
        <v>3423</v>
      </c>
      <c r="AI673" s="77"/>
      <c r="AJ673" s="77"/>
      <c r="AK673" s="77"/>
      <c r="AL673" s="77"/>
      <c r="AM673" s="77"/>
      <c r="AN673" s="77"/>
      <c r="AO673" s="77"/>
      <c r="AP673" s="77"/>
      <c r="AQ673" s="77"/>
      <c r="AR673" s="77"/>
      <c r="AS673" s="77"/>
      <c r="AT673" s="77"/>
      <c r="AU673" s="77"/>
      <c r="AV673" s="80" t="str">
        <f>HYPERLINK("https://pbs.twimg.com/profile_images/1283576393662636034/EjgsMA_W_normal.jpg")</f>
        <v>https://pbs.twimg.com/profile_images/1283576393662636034/EjgsMA_W_normal.jpg</v>
      </c>
      <c r="AW673" s="82" t="s">
        <v>5006</v>
      </c>
      <c r="AX673" s="82" t="s">
        <v>5458</v>
      </c>
      <c r="AY673" s="82" t="s">
        <v>5605</v>
      </c>
      <c r="AZ673" s="82" t="s">
        <v>5738</v>
      </c>
      <c r="BA673" s="82" t="s">
        <v>5615</v>
      </c>
      <c r="BB673" s="82" t="s">
        <v>5615</v>
      </c>
      <c r="BC673" s="82" t="s">
        <v>5738</v>
      </c>
      <c r="BD673" s="82" t="s">
        <v>5605</v>
      </c>
      <c r="BE673" s="77"/>
      <c r="BF673" s="77"/>
      <c r="BG673" s="77"/>
      <c r="BH673" s="77"/>
      <c r="BI673" s="77"/>
    </row>
    <row r="674" spans="1:61" x14ac:dyDescent="0.25">
      <c r="A674" s="62" t="s">
        <v>475</v>
      </c>
      <c r="B674" s="62" t="s">
        <v>475</v>
      </c>
      <c r="C674" s="63"/>
      <c r="D674" s="64"/>
      <c r="E674" s="65"/>
      <c r="F674" s="66"/>
      <c r="G674" s="63"/>
      <c r="H674" s="67"/>
      <c r="I674" s="68"/>
      <c r="J674" s="68"/>
      <c r="K674" s="32"/>
      <c r="L674" s="75">
        <v>674</v>
      </c>
      <c r="M674" s="75"/>
      <c r="N674" s="70"/>
      <c r="O674" s="77" t="s">
        <v>583</v>
      </c>
      <c r="P674" s="79">
        <v>45079.507488425923</v>
      </c>
      <c r="Q674" s="77" t="s">
        <v>1224</v>
      </c>
      <c r="R674" s="77">
        <v>0</v>
      </c>
      <c r="S674" s="77">
        <v>0</v>
      </c>
      <c r="T674" s="77">
        <v>0</v>
      </c>
      <c r="U674" s="77">
        <v>0</v>
      </c>
      <c r="V674" s="77">
        <v>11</v>
      </c>
      <c r="W674" s="82" t="s">
        <v>1947</v>
      </c>
      <c r="X674" s="77"/>
      <c r="Y674" s="77"/>
      <c r="Z674" s="77"/>
      <c r="AA674" s="77"/>
      <c r="AB674" s="77"/>
      <c r="AC674" s="82" t="s">
        <v>2720</v>
      </c>
      <c r="AD674" s="77" t="s">
        <v>2752</v>
      </c>
      <c r="AE674" s="80" t="str">
        <f>HYPERLINK("https://twitter.com/economedicos/status/1664605476397383682")</f>
        <v>https://twitter.com/economedicos/status/1664605476397383682</v>
      </c>
      <c r="AF674" s="79">
        <v>45079.507488425923</v>
      </c>
      <c r="AG674" s="85">
        <v>45079</v>
      </c>
      <c r="AH674" s="82" t="s">
        <v>3424</v>
      </c>
      <c r="AI674" s="77"/>
      <c r="AJ674" s="77"/>
      <c r="AK674" s="77"/>
      <c r="AL674" s="77"/>
      <c r="AM674" s="77"/>
      <c r="AN674" s="77"/>
      <c r="AO674" s="77"/>
      <c r="AP674" s="77"/>
      <c r="AQ674" s="77"/>
      <c r="AR674" s="77"/>
      <c r="AS674" s="77"/>
      <c r="AT674" s="77"/>
      <c r="AU674" s="77"/>
      <c r="AV674" s="80" t="str">
        <f>HYPERLINK("https://pbs.twimg.com/profile_images/1283576393662636034/EjgsMA_W_normal.jpg")</f>
        <v>https://pbs.twimg.com/profile_images/1283576393662636034/EjgsMA_W_normal.jpg</v>
      </c>
      <c r="AW674" s="82" t="s">
        <v>5007</v>
      </c>
      <c r="AX674" s="82" t="s">
        <v>5459</v>
      </c>
      <c r="AY674" s="82" t="s">
        <v>5605</v>
      </c>
      <c r="AZ674" s="82" t="s">
        <v>5739</v>
      </c>
      <c r="BA674" s="82" t="s">
        <v>5615</v>
      </c>
      <c r="BB674" s="82" t="s">
        <v>5615</v>
      </c>
      <c r="BC674" s="82" t="s">
        <v>5739</v>
      </c>
      <c r="BD674" s="82" t="s">
        <v>5605</v>
      </c>
      <c r="BE674" s="77"/>
      <c r="BF674" s="77"/>
      <c r="BG674" s="77"/>
      <c r="BH674" s="77"/>
      <c r="BI674" s="77"/>
    </row>
    <row r="675" spans="1:61" x14ac:dyDescent="0.25">
      <c r="A675" s="62" t="s">
        <v>475</v>
      </c>
      <c r="B675" s="62" t="s">
        <v>475</v>
      </c>
      <c r="C675" s="63"/>
      <c r="D675" s="64"/>
      <c r="E675" s="65"/>
      <c r="F675" s="66"/>
      <c r="G675" s="63"/>
      <c r="H675" s="67"/>
      <c r="I675" s="68"/>
      <c r="J675" s="68"/>
      <c r="K675" s="32"/>
      <c r="L675" s="75">
        <v>675</v>
      </c>
      <c r="M675" s="75"/>
      <c r="N675" s="70"/>
      <c r="O675" s="77" t="s">
        <v>583</v>
      </c>
      <c r="P675" s="79">
        <v>45078.443726851852</v>
      </c>
      <c r="Q675" s="77" t="s">
        <v>1225</v>
      </c>
      <c r="R675" s="77">
        <v>0</v>
      </c>
      <c r="S675" s="77">
        <v>0</v>
      </c>
      <c r="T675" s="77">
        <v>0</v>
      </c>
      <c r="U675" s="77">
        <v>0</v>
      </c>
      <c r="V675" s="77">
        <v>5</v>
      </c>
      <c r="W675" s="82" t="s">
        <v>1947</v>
      </c>
      <c r="X675" s="77"/>
      <c r="Y675" s="77"/>
      <c r="Z675" s="77"/>
      <c r="AA675" s="77"/>
      <c r="AB675" s="77"/>
      <c r="AC675" s="82" t="s">
        <v>2720</v>
      </c>
      <c r="AD675" s="77" t="s">
        <v>2752</v>
      </c>
      <c r="AE675" s="80" t="str">
        <f>HYPERLINK("https://twitter.com/economedicos/status/1664219985865068544")</f>
        <v>https://twitter.com/economedicos/status/1664219985865068544</v>
      </c>
      <c r="AF675" s="79">
        <v>45078.443726851852</v>
      </c>
      <c r="AG675" s="85">
        <v>45078</v>
      </c>
      <c r="AH675" s="82" t="s">
        <v>3425</v>
      </c>
      <c r="AI675" s="77"/>
      <c r="AJ675" s="77"/>
      <c r="AK675" s="77"/>
      <c r="AL675" s="77"/>
      <c r="AM675" s="77"/>
      <c r="AN675" s="77"/>
      <c r="AO675" s="77"/>
      <c r="AP675" s="77"/>
      <c r="AQ675" s="77"/>
      <c r="AR675" s="77"/>
      <c r="AS675" s="77"/>
      <c r="AT675" s="77"/>
      <c r="AU675" s="77"/>
      <c r="AV675" s="80" t="str">
        <f>HYPERLINK("https://pbs.twimg.com/profile_images/1283576393662636034/EjgsMA_W_normal.jpg")</f>
        <v>https://pbs.twimg.com/profile_images/1283576393662636034/EjgsMA_W_normal.jpg</v>
      </c>
      <c r="AW675" s="82" t="s">
        <v>5008</v>
      </c>
      <c r="AX675" s="82" t="s">
        <v>5460</v>
      </c>
      <c r="AY675" s="82" t="s">
        <v>5605</v>
      </c>
      <c r="AZ675" s="82" t="s">
        <v>5740</v>
      </c>
      <c r="BA675" s="82" t="s">
        <v>5615</v>
      </c>
      <c r="BB675" s="82" t="s">
        <v>5615</v>
      </c>
      <c r="BC675" s="82" t="s">
        <v>5740</v>
      </c>
      <c r="BD675" s="82" t="s">
        <v>5605</v>
      </c>
      <c r="BE675" s="77"/>
      <c r="BF675" s="77"/>
      <c r="BG675" s="77"/>
      <c r="BH675" s="77"/>
      <c r="BI675" s="77"/>
    </row>
    <row r="676" spans="1:61" x14ac:dyDescent="0.25">
      <c r="A676" s="62" t="s">
        <v>475</v>
      </c>
      <c r="B676" s="62" t="s">
        <v>475</v>
      </c>
      <c r="C676" s="63"/>
      <c r="D676" s="64"/>
      <c r="E676" s="65"/>
      <c r="F676" s="66"/>
      <c r="G676" s="63"/>
      <c r="H676" s="67"/>
      <c r="I676" s="68"/>
      <c r="J676" s="68"/>
      <c r="K676" s="32"/>
      <c r="L676" s="75">
        <v>676</v>
      </c>
      <c r="M676" s="75"/>
      <c r="N676" s="70"/>
      <c r="O676" s="77" t="s">
        <v>583</v>
      </c>
      <c r="P676" s="79">
        <v>45058.434756944444</v>
      </c>
      <c r="Q676" s="77" t="s">
        <v>1226</v>
      </c>
      <c r="R676" s="77">
        <v>0</v>
      </c>
      <c r="S676" s="77">
        <v>0</v>
      </c>
      <c r="T676" s="77">
        <v>0</v>
      </c>
      <c r="U676" s="77">
        <v>0</v>
      </c>
      <c r="V676" s="77">
        <v>6</v>
      </c>
      <c r="W676" s="82" t="s">
        <v>1947</v>
      </c>
      <c r="X676" s="77"/>
      <c r="Y676" s="77"/>
      <c r="Z676" s="77"/>
      <c r="AA676" s="77"/>
      <c r="AB676" s="77"/>
      <c r="AC676" s="82" t="s">
        <v>2720</v>
      </c>
      <c r="AD676" s="77" t="s">
        <v>2752</v>
      </c>
      <c r="AE676" s="80" t="str">
        <f>HYPERLINK("https://twitter.com/economedicos/status/1656968976088399872")</f>
        <v>https://twitter.com/economedicos/status/1656968976088399872</v>
      </c>
      <c r="AF676" s="79">
        <v>45058.434756944444</v>
      </c>
      <c r="AG676" s="85">
        <v>45058</v>
      </c>
      <c r="AH676" s="82" t="s">
        <v>3426</v>
      </c>
      <c r="AI676" s="77"/>
      <c r="AJ676" s="77"/>
      <c r="AK676" s="77"/>
      <c r="AL676" s="77"/>
      <c r="AM676" s="77"/>
      <c r="AN676" s="77"/>
      <c r="AO676" s="77"/>
      <c r="AP676" s="77"/>
      <c r="AQ676" s="77"/>
      <c r="AR676" s="77"/>
      <c r="AS676" s="77"/>
      <c r="AT676" s="77"/>
      <c r="AU676" s="77"/>
      <c r="AV676" s="80" t="str">
        <f>HYPERLINK("https://pbs.twimg.com/profile_images/1283576393662636034/EjgsMA_W_normal.jpg")</f>
        <v>https://pbs.twimg.com/profile_images/1283576393662636034/EjgsMA_W_normal.jpg</v>
      </c>
      <c r="AW676" s="82" t="s">
        <v>5009</v>
      </c>
      <c r="AX676" s="82" t="s">
        <v>5461</v>
      </c>
      <c r="AY676" s="82" t="s">
        <v>5605</v>
      </c>
      <c r="AZ676" s="82" t="s">
        <v>5741</v>
      </c>
      <c r="BA676" s="82" t="s">
        <v>5615</v>
      </c>
      <c r="BB676" s="82" t="s">
        <v>5615</v>
      </c>
      <c r="BC676" s="82" t="s">
        <v>5741</v>
      </c>
      <c r="BD676" s="82" t="s">
        <v>5605</v>
      </c>
      <c r="BE676" s="77"/>
      <c r="BF676" s="77"/>
      <c r="BG676" s="77"/>
      <c r="BH676" s="77"/>
      <c r="BI676" s="77"/>
    </row>
    <row r="677" spans="1:61" x14ac:dyDescent="0.25">
      <c r="A677" s="62" t="s">
        <v>475</v>
      </c>
      <c r="B677" s="62" t="s">
        <v>475</v>
      </c>
      <c r="C677" s="63"/>
      <c r="D677" s="64"/>
      <c r="E677" s="65"/>
      <c r="F677" s="66"/>
      <c r="G677" s="63"/>
      <c r="H677" s="67"/>
      <c r="I677" s="68"/>
      <c r="J677" s="68"/>
      <c r="K677" s="32"/>
      <c r="L677" s="75">
        <v>677</v>
      </c>
      <c r="M677" s="75"/>
      <c r="N677" s="70"/>
      <c r="O677" s="77" t="s">
        <v>583</v>
      </c>
      <c r="P677" s="79">
        <v>45057.44085648148</v>
      </c>
      <c r="Q677" s="77" t="s">
        <v>1227</v>
      </c>
      <c r="R677" s="77">
        <v>0</v>
      </c>
      <c r="S677" s="77">
        <v>0</v>
      </c>
      <c r="T677" s="77">
        <v>0</v>
      </c>
      <c r="U677" s="77">
        <v>0</v>
      </c>
      <c r="V677" s="77">
        <v>7</v>
      </c>
      <c r="W677" s="82" t="s">
        <v>1947</v>
      </c>
      <c r="X677" s="77"/>
      <c r="Y677" s="77"/>
      <c r="Z677" s="77"/>
      <c r="AA677" s="77"/>
      <c r="AB677" s="77"/>
      <c r="AC677" s="82" t="s">
        <v>2720</v>
      </c>
      <c r="AD677" s="77" t="s">
        <v>2752</v>
      </c>
      <c r="AE677" s="80" t="str">
        <f>HYPERLINK("https://twitter.com/economedicos/status/1656608800495812608")</f>
        <v>https://twitter.com/economedicos/status/1656608800495812608</v>
      </c>
      <c r="AF677" s="79">
        <v>45057.44085648148</v>
      </c>
      <c r="AG677" s="85">
        <v>45057</v>
      </c>
      <c r="AH677" s="82" t="s">
        <v>3427</v>
      </c>
      <c r="AI677" s="77"/>
      <c r="AJ677" s="77"/>
      <c r="AK677" s="77"/>
      <c r="AL677" s="77"/>
      <c r="AM677" s="77"/>
      <c r="AN677" s="77"/>
      <c r="AO677" s="77"/>
      <c r="AP677" s="77"/>
      <c r="AQ677" s="77"/>
      <c r="AR677" s="77"/>
      <c r="AS677" s="77"/>
      <c r="AT677" s="77"/>
      <c r="AU677" s="77"/>
      <c r="AV677" s="80" t="str">
        <f>HYPERLINK("https://pbs.twimg.com/profile_images/1283576393662636034/EjgsMA_W_normal.jpg")</f>
        <v>https://pbs.twimg.com/profile_images/1283576393662636034/EjgsMA_W_normal.jpg</v>
      </c>
      <c r="AW677" s="82" t="s">
        <v>5010</v>
      </c>
      <c r="AX677" s="82" t="s">
        <v>5462</v>
      </c>
      <c r="AY677" s="82" t="s">
        <v>5605</v>
      </c>
      <c r="AZ677" s="82" t="s">
        <v>5742</v>
      </c>
      <c r="BA677" s="82" t="s">
        <v>5615</v>
      </c>
      <c r="BB677" s="82" t="s">
        <v>5615</v>
      </c>
      <c r="BC677" s="82" t="s">
        <v>5742</v>
      </c>
      <c r="BD677" s="82" t="s">
        <v>5605</v>
      </c>
      <c r="BE677" s="77"/>
      <c r="BF677" s="77"/>
      <c r="BG677" s="77"/>
      <c r="BH677" s="77"/>
      <c r="BI677" s="77"/>
    </row>
    <row r="678" spans="1:61" x14ac:dyDescent="0.25">
      <c r="A678" s="62" t="s">
        <v>475</v>
      </c>
      <c r="B678" s="62" t="s">
        <v>475</v>
      </c>
      <c r="C678" s="63"/>
      <c r="D678" s="64"/>
      <c r="E678" s="65"/>
      <c r="F678" s="66"/>
      <c r="G678" s="63"/>
      <c r="H678" s="67"/>
      <c r="I678" s="68"/>
      <c r="J678" s="68"/>
      <c r="K678" s="32"/>
      <c r="L678" s="75">
        <v>678</v>
      </c>
      <c r="M678" s="75"/>
      <c r="N678" s="70"/>
      <c r="O678" s="77" t="s">
        <v>583</v>
      </c>
      <c r="P678" s="79">
        <v>45056.46298611111</v>
      </c>
      <c r="Q678" s="77" t="s">
        <v>1228</v>
      </c>
      <c r="R678" s="77">
        <v>0</v>
      </c>
      <c r="S678" s="77">
        <v>0</v>
      </c>
      <c r="T678" s="77">
        <v>0</v>
      </c>
      <c r="U678" s="77">
        <v>0</v>
      </c>
      <c r="V678" s="77">
        <v>10</v>
      </c>
      <c r="W678" s="82" t="s">
        <v>1947</v>
      </c>
      <c r="X678" s="77"/>
      <c r="Y678" s="77"/>
      <c r="Z678" s="77"/>
      <c r="AA678" s="77"/>
      <c r="AB678" s="77"/>
      <c r="AC678" s="82" t="s">
        <v>2720</v>
      </c>
      <c r="AD678" s="77" t="s">
        <v>2752</v>
      </c>
      <c r="AE678" s="80" t="str">
        <f>HYPERLINK("https://twitter.com/economedicos/status/1656254429606076417")</f>
        <v>https://twitter.com/economedicos/status/1656254429606076417</v>
      </c>
      <c r="AF678" s="79">
        <v>45056.46298611111</v>
      </c>
      <c r="AG678" s="85">
        <v>45056</v>
      </c>
      <c r="AH678" s="82" t="s">
        <v>3428</v>
      </c>
      <c r="AI678" s="77"/>
      <c r="AJ678" s="77"/>
      <c r="AK678" s="77"/>
      <c r="AL678" s="77"/>
      <c r="AM678" s="77"/>
      <c r="AN678" s="77"/>
      <c r="AO678" s="77"/>
      <c r="AP678" s="77"/>
      <c r="AQ678" s="77"/>
      <c r="AR678" s="77"/>
      <c r="AS678" s="77"/>
      <c r="AT678" s="77"/>
      <c r="AU678" s="77"/>
      <c r="AV678" s="80" t="str">
        <f>HYPERLINK("https://pbs.twimg.com/profile_images/1283576393662636034/EjgsMA_W_normal.jpg")</f>
        <v>https://pbs.twimg.com/profile_images/1283576393662636034/EjgsMA_W_normal.jpg</v>
      </c>
      <c r="AW678" s="82" t="s">
        <v>5011</v>
      </c>
      <c r="AX678" s="82" t="s">
        <v>5463</v>
      </c>
      <c r="AY678" s="82" t="s">
        <v>5605</v>
      </c>
      <c r="AZ678" s="82" t="s">
        <v>5743</v>
      </c>
      <c r="BA678" s="82" t="s">
        <v>5615</v>
      </c>
      <c r="BB678" s="82" t="s">
        <v>5615</v>
      </c>
      <c r="BC678" s="82" t="s">
        <v>5743</v>
      </c>
      <c r="BD678" s="82" t="s">
        <v>5605</v>
      </c>
      <c r="BE678" s="77"/>
      <c r="BF678" s="77"/>
      <c r="BG678" s="77"/>
      <c r="BH678" s="77"/>
      <c r="BI678" s="77"/>
    </row>
    <row r="679" spans="1:61" x14ac:dyDescent="0.25">
      <c r="A679" s="62" t="s">
        <v>475</v>
      </c>
      <c r="B679" s="62" t="s">
        <v>475</v>
      </c>
      <c r="C679" s="63"/>
      <c r="D679" s="64"/>
      <c r="E679" s="65"/>
      <c r="F679" s="66"/>
      <c r="G679" s="63"/>
      <c r="H679" s="67"/>
      <c r="I679" s="68"/>
      <c r="J679" s="68"/>
      <c r="K679" s="32"/>
      <c r="L679" s="75">
        <v>679</v>
      </c>
      <c r="M679" s="75"/>
      <c r="N679" s="70"/>
      <c r="O679" s="77" t="s">
        <v>583</v>
      </c>
      <c r="P679" s="79">
        <v>45055.458749999998</v>
      </c>
      <c r="Q679" s="77" t="s">
        <v>1229</v>
      </c>
      <c r="R679" s="77">
        <v>0</v>
      </c>
      <c r="S679" s="77">
        <v>0</v>
      </c>
      <c r="T679" s="77">
        <v>0</v>
      </c>
      <c r="U679" s="77">
        <v>0</v>
      </c>
      <c r="V679" s="77">
        <v>5</v>
      </c>
      <c r="W679" s="82" t="s">
        <v>1947</v>
      </c>
      <c r="X679" s="77"/>
      <c r="Y679" s="77"/>
      <c r="Z679" s="77"/>
      <c r="AA679" s="77"/>
      <c r="AB679" s="77"/>
      <c r="AC679" s="82" t="s">
        <v>2720</v>
      </c>
      <c r="AD679" s="77" t="s">
        <v>2752</v>
      </c>
      <c r="AE679" s="80" t="str">
        <f>HYPERLINK("https://twitter.com/economedicos/status/1655890508114194434")</f>
        <v>https://twitter.com/economedicos/status/1655890508114194434</v>
      </c>
      <c r="AF679" s="79">
        <v>45055.458749999998</v>
      </c>
      <c r="AG679" s="85">
        <v>45055</v>
      </c>
      <c r="AH679" s="82" t="s">
        <v>3429</v>
      </c>
      <c r="AI679" s="77"/>
      <c r="AJ679" s="77"/>
      <c r="AK679" s="77"/>
      <c r="AL679" s="77"/>
      <c r="AM679" s="77"/>
      <c r="AN679" s="77"/>
      <c r="AO679" s="77"/>
      <c r="AP679" s="77"/>
      <c r="AQ679" s="77"/>
      <c r="AR679" s="77"/>
      <c r="AS679" s="77"/>
      <c r="AT679" s="77"/>
      <c r="AU679" s="77"/>
      <c r="AV679" s="80" t="str">
        <f>HYPERLINK("https://pbs.twimg.com/profile_images/1283576393662636034/EjgsMA_W_normal.jpg")</f>
        <v>https://pbs.twimg.com/profile_images/1283576393662636034/EjgsMA_W_normal.jpg</v>
      </c>
      <c r="AW679" s="82" t="s">
        <v>5012</v>
      </c>
      <c r="AX679" s="82" t="s">
        <v>5464</v>
      </c>
      <c r="AY679" s="82" t="s">
        <v>5605</v>
      </c>
      <c r="AZ679" s="82" t="s">
        <v>5744</v>
      </c>
      <c r="BA679" s="82" t="s">
        <v>5615</v>
      </c>
      <c r="BB679" s="82" t="s">
        <v>5615</v>
      </c>
      <c r="BC679" s="82" t="s">
        <v>5744</v>
      </c>
      <c r="BD679" s="82" t="s">
        <v>5605</v>
      </c>
      <c r="BE679" s="77"/>
      <c r="BF679" s="77"/>
      <c r="BG679" s="77"/>
      <c r="BH679" s="77"/>
      <c r="BI679" s="77"/>
    </row>
    <row r="680" spans="1:61" x14ac:dyDescent="0.25">
      <c r="A680" s="62" t="s">
        <v>475</v>
      </c>
      <c r="B680" s="62" t="s">
        <v>475</v>
      </c>
      <c r="C680" s="63"/>
      <c r="D680" s="64"/>
      <c r="E680" s="65"/>
      <c r="F680" s="66"/>
      <c r="G680" s="63"/>
      <c r="H680" s="67"/>
      <c r="I680" s="68"/>
      <c r="J680" s="68"/>
      <c r="K680" s="32"/>
      <c r="L680" s="75">
        <v>680</v>
      </c>
      <c r="M680" s="75"/>
      <c r="N680" s="70"/>
      <c r="O680" s="77" t="s">
        <v>583</v>
      </c>
      <c r="P680" s="79">
        <v>45054.461643518516</v>
      </c>
      <c r="Q680" s="77" t="s">
        <v>1230</v>
      </c>
      <c r="R680" s="77">
        <v>0</v>
      </c>
      <c r="S680" s="77">
        <v>0</v>
      </c>
      <c r="T680" s="77">
        <v>0</v>
      </c>
      <c r="U680" s="77">
        <v>0</v>
      </c>
      <c r="V680" s="77">
        <v>4</v>
      </c>
      <c r="W680" s="82" t="s">
        <v>1947</v>
      </c>
      <c r="X680" s="77"/>
      <c r="Y680" s="77"/>
      <c r="Z680" s="77"/>
      <c r="AA680" s="77"/>
      <c r="AB680" s="77"/>
      <c r="AC680" s="82" t="s">
        <v>2720</v>
      </c>
      <c r="AD680" s="77" t="s">
        <v>2752</v>
      </c>
      <c r="AE680" s="80" t="str">
        <f>HYPERLINK("https://twitter.com/economedicos/status/1655529166530387969")</f>
        <v>https://twitter.com/economedicos/status/1655529166530387969</v>
      </c>
      <c r="AF680" s="79">
        <v>45054.461643518516</v>
      </c>
      <c r="AG680" s="85">
        <v>45054</v>
      </c>
      <c r="AH680" s="82" t="s">
        <v>3430</v>
      </c>
      <c r="AI680" s="77"/>
      <c r="AJ680" s="77"/>
      <c r="AK680" s="77"/>
      <c r="AL680" s="77"/>
      <c r="AM680" s="77"/>
      <c r="AN680" s="77"/>
      <c r="AO680" s="77"/>
      <c r="AP680" s="77"/>
      <c r="AQ680" s="77"/>
      <c r="AR680" s="77"/>
      <c r="AS680" s="77"/>
      <c r="AT680" s="77"/>
      <c r="AU680" s="77"/>
      <c r="AV680" s="80" t="str">
        <f>HYPERLINK("https://pbs.twimg.com/profile_images/1283576393662636034/EjgsMA_W_normal.jpg")</f>
        <v>https://pbs.twimg.com/profile_images/1283576393662636034/EjgsMA_W_normal.jpg</v>
      </c>
      <c r="AW680" s="82" t="s">
        <v>5013</v>
      </c>
      <c r="AX680" s="82" t="s">
        <v>5465</v>
      </c>
      <c r="AY680" s="82" t="s">
        <v>5605</v>
      </c>
      <c r="AZ680" s="82" t="s">
        <v>5745</v>
      </c>
      <c r="BA680" s="82" t="s">
        <v>5615</v>
      </c>
      <c r="BB680" s="82" t="s">
        <v>5615</v>
      </c>
      <c r="BC680" s="82" t="s">
        <v>5745</v>
      </c>
      <c r="BD680" s="82" t="s">
        <v>5605</v>
      </c>
      <c r="BE680" s="77"/>
      <c r="BF680" s="77"/>
      <c r="BG680" s="77"/>
      <c r="BH680" s="77"/>
      <c r="BI680" s="77"/>
    </row>
    <row r="681" spans="1:61" x14ac:dyDescent="0.25">
      <c r="A681" s="62" t="s">
        <v>475</v>
      </c>
      <c r="B681" s="62" t="s">
        <v>475</v>
      </c>
      <c r="C681" s="63"/>
      <c r="D681" s="64"/>
      <c r="E681" s="65"/>
      <c r="F681" s="66"/>
      <c r="G681" s="63"/>
      <c r="H681" s="67"/>
      <c r="I681" s="68"/>
      <c r="J681" s="68"/>
      <c r="K681" s="32"/>
      <c r="L681" s="75">
        <v>681</v>
      </c>
      <c r="M681" s="75"/>
      <c r="N681" s="70"/>
      <c r="O681" s="77" t="s">
        <v>583</v>
      </c>
      <c r="P681" s="79">
        <v>45051.597280092596</v>
      </c>
      <c r="Q681" s="77" t="s">
        <v>1231</v>
      </c>
      <c r="R681" s="77">
        <v>0</v>
      </c>
      <c r="S681" s="77">
        <v>0</v>
      </c>
      <c r="T681" s="77">
        <v>0</v>
      </c>
      <c r="U681" s="77">
        <v>0</v>
      </c>
      <c r="V681" s="77">
        <v>6</v>
      </c>
      <c r="W681" s="82" t="s">
        <v>1947</v>
      </c>
      <c r="X681" s="77"/>
      <c r="Y681" s="77"/>
      <c r="Z681" s="77"/>
      <c r="AA681" s="77"/>
      <c r="AB681" s="77"/>
      <c r="AC681" s="82" t="s">
        <v>2720</v>
      </c>
      <c r="AD681" s="77" t="s">
        <v>2752</v>
      </c>
      <c r="AE681" s="80" t="str">
        <f>HYPERLINK("https://twitter.com/economedicos/status/1654491156556783619")</f>
        <v>https://twitter.com/economedicos/status/1654491156556783619</v>
      </c>
      <c r="AF681" s="79">
        <v>45051.597280092596</v>
      </c>
      <c r="AG681" s="85">
        <v>45051</v>
      </c>
      <c r="AH681" s="82" t="s">
        <v>3431</v>
      </c>
      <c r="AI681" s="77"/>
      <c r="AJ681" s="77"/>
      <c r="AK681" s="77"/>
      <c r="AL681" s="77"/>
      <c r="AM681" s="77"/>
      <c r="AN681" s="77"/>
      <c r="AO681" s="77"/>
      <c r="AP681" s="77"/>
      <c r="AQ681" s="77"/>
      <c r="AR681" s="77"/>
      <c r="AS681" s="77"/>
      <c r="AT681" s="77"/>
      <c r="AU681" s="77"/>
      <c r="AV681" s="80" t="str">
        <f>HYPERLINK("https://pbs.twimg.com/profile_images/1283576393662636034/EjgsMA_W_normal.jpg")</f>
        <v>https://pbs.twimg.com/profile_images/1283576393662636034/EjgsMA_W_normal.jpg</v>
      </c>
      <c r="AW681" s="82" t="s">
        <v>5014</v>
      </c>
      <c r="AX681" s="82" t="s">
        <v>5466</v>
      </c>
      <c r="AY681" s="82" t="s">
        <v>5605</v>
      </c>
      <c r="AZ681" s="82" t="s">
        <v>5746</v>
      </c>
      <c r="BA681" s="82" t="s">
        <v>5615</v>
      </c>
      <c r="BB681" s="82" t="s">
        <v>5615</v>
      </c>
      <c r="BC681" s="82" t="s">
        <v>5746</v>
      </c>
      <c r="BD681" s="82" t="s">
        <v>5605</v>
      </c>
      <c r="BE681" s="77"/>
      <c r="BF681" s="77"/>
      <c r="BG681" s="77"/>
      <c r="BH681" s="77"/>
      <c r="BI681" s="77"/>
    </row>
    <row r="682" spans="1:61" x14ac:dyDescent="0.25">
      <c r="A682" s="62" t="s">
        <v>475</v>
      </c>
      <c r="B682" s="62" t="s">
        <v>475</v>
      </c>
      <c r="C682" s="63"/>
      <c r="D682" s="64"/>
      <c r="E682" s="65"/>
      <c r="F682" s="66"/>
      <c r="G682" s="63"/>
      <c r="H682" s="67"/>
      <c r="I682" s="68"/>
      <c r="J682" s="68"/>
      <c r="K682" s="32"/>
      <c r="L682" s="75">
        <v>682</v>
      </c>
      <c r="M682" s="75"/>
      <c r="N682" s="70"/>
      <c r="O682" s="77" t="s">
        <v>583</v>
      </c>
      <c r="P682" s="79">
        <v>45022.438530092593</v>
      </c>
      <c r="Q682" s="77" t="s">
        <v>1232</v>
      </c>
      <c r="R682" s="77">
        <v>0</v>
      </c>
      <c r="S682" s="77">
        <v>0</v>
      </c>
      <c r="T682" s="77">
        <v>0</v>
      </c>
      <c r="U682" s="77">
        <v>0</v>
      </c>
      <c r="V682" s="77">
        <v>8</v>
      </c>
      <c r="W682" s="82" t="s">
        <v>1947</v>
      </c>
      <c r="X682" s="77"/>
      <c r="Y682" s="77"/>
      <c r="Z682" s="77"/>
      <c r="AA682" s="77"/>
      <c r="AB682" s="77"/>
      <c r="AC682" s="82" t="s">
        <v>2720</v>
      </c>
      <c r="AD682" s="77" t="s">
        <v>2752</v>
      </c>
      <c r="AE682" s="80" t="str">
        <f>HYPERLINK("https://twitter.com/economedicos/status/1643924382056677376")</f>
        <v>https://twitter.com/economedicos/status/1643924382056677376</v>
      </c>
      <c r="AF682" s="79">
        <v>45022.438530092593</v>
      </c>
      <c r="AG682" s="85">
        <v>45022</v>
      </c>
      <c r="AH682" s="82" t="s">
        <v>3432</v>
      </c>
      <c r="AI682" s="77"/>
      <c r="AJ682" s="77"/>
      <c r="AK682" s="77"/>
      <c r="AL682" s="77"/>
      <c r="AM682" s="77"/>
      <c r="AN682" s="77"/>
      <c r="AO682" s="77"/>
      <c r="AP682" s="77"/>
      <c r="AQ682" s="77"/>
      <c r="AR682" s="77"/>
      <c r="AS682" s="77"/>
      <c r="AT682" s="77"/>
      <c r="AU682" s="77"/>
      <c r="AV682" s="80" t="str">
        <f>HYPERLINK("https://pbs.twimg.com/profile_images/1283576393662636034/EjgsMA_W_normal.jpg")</f>
        <v>https://pbs.twimg.com/profile_images/1283576393662636034/EjgsMA_W_normal.jpg</v>
      </c>
      <c r="AW682" s="82" t="s">
        <v>5015</v>
      </c>
      <c r="AX682" s="82" t="s">
        <v>5467</v>
      </c>
      <c r="AY682" s="82" t="s">
        <v>5605</v>
      </c>
      <c r="AZ682" s="82" t="s">
        <v>5747</v>
      </c>
      <c r="BA682" s="82" t="s">
        <v>5615</v>
      </c>
      <c r="BB682" s="82" t="s">
        <v>5615</v>
      </c>
      <c r="BC682" s="82" t="s">
        <v>5747</v>
      </c>
      <c r="BD682" s="82" t="s">
        <v>5605</v>
      </c>
      <c r="BE682" s="77"/>
      <c r="BF682" s="77"/>
      <c r="BG682" s="77"/>
      <c r="BH682" s="77"/>
      <c r="BI682" s="77"/>
    </row>
    <row r="683" spans="1:61" x14ac:dyDescent="0.25">
      <c r="A683" s="62" t="s">
        <v>475</v>
      </c>
      <c r="B683" s="62" t="s">
        <v>475</v>
      </c>
      <c r="C683" s="63"/>
      <c r="D683" s="64"/>
      <c r="E683" s="65"/>
      <c r="F683" s="66"/>
      <c r="G683" s="63"/>
      <c r="H683" s="67"/>
      <c r="I683" s="68"/>
      <c r="J683" s="68"/>
      <c r="K683" s="32"/>
      <c r="L683" s="75">
        <v>683</v>
      </c>
      <c r="M683" s="75"/>
      <c r="N683" s="70"/>
      <c r="O683" s="77" t="s">
        <v>583</v>
      </c>
      <c r="P683" s="79">
        <v>45021.458460648151</v>
      </c>
      <c r="Q683" s="77" t="s">
        <v>1233</v>
      </c>
      <c r="R683" s="77">
        <v>0</v>
      </c>
      <c r="S683" s="77">
        <v>0</v>
      </c>
      <c r="T683" s="77">
        <v>0</v>
      </c>
      <c r="U683" s="77">
        <v>0</v>
      </c>
      <c r="V683" s="77">
        <v>9</v>
      </c>
      <c r="W683" s="82" t="s">
        <v>1947</v>
      </c>
      <c r="X683" s="77"/>
      <c r="Y683" s="77"/>
      <c r="Z683" s="77"/>
      <c r="AA683" s="77"/>
      <c r="AB683" s="77"/>
      <c r="AC683" s="82" t="s">
        <v>2720</v>
      </c>
      <c r="AD683" s="77" t="s">
        <v>2752</v>
      </c>
      <c r="AE683" s="80" t="str">
        <f>HYPERLINK("https://twitter.com/economedicos/status/1643569215582920710")</f>
        <v>https://twitter.com/economedicos/status/1643569215582920710</v>
      </c>
      <c r="AF683" s="79">
        <v>45021.458460648151</v>
      </c>
      <c r="AG683" s="85">
        <v>45021</v>
      </c>
      <c r="AH683" s="82" t="s">
        <v>3433</v>
      </c>
      <c r="AI683" s="77"/>
      <c r="AJ683" s="77"/>
      <c r="AK683" s="77"/>
      <c r="AL683" s="77"/>
      <c r="AM683" s="77"/>
      <c r="AN683" s="77"/>
      <c r="AO683" s="77"/>
      <c r="AP683" s="77"/>
      <c r="AQ683" s="77"/>
      <c r="AR683" s="77"/>
      <c r="AS683" s="77"/>
      <c r="AT683" s="77"/>
      <c r="AU683" s="77"/>
      <c r="AV683" s="80" t="str">
        <f>HYPERLINK("https://pbs.twimg.com/profile_images/1283576393662636034/EjgsMA_W_normal.jpg")</f>
        <v>https://pbs.twimg.com/profile_images/1283576393662636034/EjgsMA_W_normal.jpg</v>
      </c>
      <c r="AW683" s="82" t="s">
        <v>5016</v>
      </c>
      <c r="AX683" s="82" t="s">
        <v>5468</v>
      </c>
      <c r="AY683" s="82" t="s">
        <v>5605</v>
      </c>
      <c r="AZ683" s="82" t="s">
        <v>5748</v>
      </c>
      <c r="BA683" s="82" t="s">
        <v>5615</v>
      </c>
      <c r="BB683" s="82" t="s">
        <v>5615</v>
      </c>
      <c r="BC683" s="82" t="s">
        <v>5748</v>
      </c>
      <c r="BD683" s="82" t="s">
        <v>5605</v>
      </c>
      <c r="BE683" s="77"/>
      <c r="BF683" s="77"/>
      <c r="BG683" s="77"/>
      <c r="BH683" s="77"/>
      <c r="BI683" s="77"/>
    </row>
    <row r="684" spans="1:61" x14ac:dyDescent="0.25">
      <c r="A684" s="62" t="s">
        <v>475</v>
      </c>
      <c r="B684" s="62" t="s">
        <v>475</v>
      </c>
      <c r="C684" s="63"/>
      <c r="D684" s="64"/>
      <c r="E684" s="65"/>
      <c r="F684" s="66"/>
      <c r="G684" s="63"/>
      <c r="H684" s="67"/>
      <c r="I684" s="68"/>
      <c r="J684" s="68"/>
      <c r="K684" s="32"/>
      <c r="L684" s="75">
        <v>684</v>
      </c>
      <c r="M684" s="75"/>
      <c r="N684" s="70"/>
      <c r="O684" s="77" t="s">
        <v>583</v>
      </c>
      <c r="P684" s="79">
        <v>45020.455787037034</v>
      </c>
      <c r="Q684" s="77" t="s">
        <v>1234</v>
      </c>
      <c r="R684" s="77">
        <v>0</v>
      </c>
      <c r="S684" s="77">
        <v>0</v>
      </c>
      <c r="T684" s="77">
        <v>0</v>
      </c>
      <c r="U684" s="77">
        <v>0</v>
      </c>
      <c r="V684" s="77">
        <v>39</v>
      </c>
      <c r="W684" s="82" t="s">
        <v>1947</v>
      </c>
      <c r="X684" s="77"/>
      <c r="Y684" s="77"/>
      <c r="Z684" s="77"/>
      <c r="AA684" s="77"/>
      <c r="AB684" s="77"/>
      <c r="AC684" s="82" t="s">
        <v>2720</v>
      </c>
      <c r="AD684" s="77" t="s">
        <v>2752</v>
      </c>
      <c r="AE684" s="80" t="str">
        <f>HYPERLINK("https://twitter.com/economedicos/status/1643205856865951748")</f>
        <v>https://twitter.com/economedicos/status/1643205856865951748</v>
      </c>
      <c r="AF684" s="79">
        <v>45020.455787037034</v>
      </c>
      <c r="AG684" s="85">
        <v>45020</v>
      </c>
      <c r="AH684" s="82" t="s">
        <v>3434</v>
      </c>
      <c r="AI684" s="77"/>
      <c r="AJ684" s="77"/>
      <c r="AK684" s="77"/>
      <c r="AL684" s="77"/>
      <c r="AM684" s="77"/>
      <c r="AN684" s="77"/>
      <c r="AO684" s="77"/>
      <c r="AP684" s="77"/>
      <c r="AQ684" s="77"/>
      <c r="AR684" s="77"/>
      <c r="AS684" s="77"/>
      <c r="AT684" s="77"/>
      <c r="AU684" s="77"/>
      <c r="AV684" s="80" t="str">
        <f>HYPERLINK("https://pbs.twimg.com/profile_images/1283576393662636034/EjgsMA_W_normal.jpg")</f>
        <v>https://pbs.twimg.com/profile_images/1283576393662636034/EjgsMA_W_normal.jpg</v>
      </c>
      <c r="AW684" s="82" t="s">
        <v>5017</v>
      </c>
      <c r="AX684" s="82" t="s">
        <v>5469</v>
      </c>
      <c r="AY684" s="82" t="s">
        <v>5605</v>
      </c>
      <c r="AZ684" s="82" t="s">
        <v>5749</v>
      </c>
      <c r="BA684" s="82" t="s">
        <v>5615</v>
      </c>
      <c r="BB684" s="82" t="s">
        <v>5615</v>
      </c>
      <c r="BC684" s="82" t="s">
        <v>5749</v>
      </c>
      <c r="BD684" s="82" t="s">
        <v>5605</v>
      </c>
      <c r="BE684" s="77"/>
      <c r="BF684" s="77"/>
      <c r="BG684" s="77"/>
      <c r="BH684" s="77"/>
      <c r="BI684" s="77"/>
    </row>
    <row r="685" spans="1:61" x14ac:dyDescent="0.25">
      <c r="A685" s="62" t="s">
        <v>475</v>
      </c>
      <c r="B685" s="62" t="s">
        <v>475</v>
      </c>
      <c r="C685" s="63"/>
      <c r="D685" s="64"/>
      <c r="E685" s="65"/>
      <c r="F685" s="66"/>
      <c r="G685" s="63"/>
      <c r="H685" s="67"/>
      <c r="I685" s="68"/>
      <c r="J685" s="68"/>
      <c r="K685" s="32"/>
      <c r="L685" s="75">
        <v>685</v>
      </c>
      <c r="M685" s="75"/>
      <c r="N685" s="70"/>
      <c r="O685" s="77" t="s">
        <v>583</v>
      </c>
      <c r="P685" s="79">
        <v>45019.464467592596</v>
      </c>
      <c r="Q685" s="77" t="s">
        <v>1235</v>
      </c>
      <c r="R685" s="77">
        <v>0</v>
      </c>
      <c r="S685" s="77">
        <v>0</v>
      </c>
      <c r="T685" s="77">
        <v>0</v>
      </c>
      <c r="U685" s="77">
        <v>0</v>
      </c>
      <c r="V685" s="77">
        <v>10</v>
      </c>
      <c r="W685" s="82" t="s">
        <v>1947</v>
      </c>
      <c r="X685" s="77"/>
      <c r="Y685" s="77"/>
      <c r="Z685" s="77"/>
      <c r="AA685" s="77"/>
      <c r="AB685" s="77"/>
      <c r="AC685" s="82" t="s">
        <v>2720</v>
      </c>
      <c r="AD685" s="77" t="s">
        <v>2752</v>
      </c>
      <c r="AE685" s="80" t="str">
        <f>HYPERLINK("https://twitter.com/economedicos/status/1642846616586534917")</f>
        <v>https://twitter.com/economedicos/status/1642846616586534917</v>
      </c>
      <c r="AF685" s="79">
        <v>45019.464467592596</v>
      </c>
      <c r="AG685" s="85">
        <v>45019</v>
      </c>
      <c r="AH685" s="82" t="s">
        <v>3435</v>
      </c>
      <c r="AI685" s="77"/>
      <c r="AJ685" s="77"/>
      <c r="AK685" s="77"/>
      <c r="AL685" s="77"/>
      <c r="AM685" s="77"/>
      <c r="AN685" s="77"/>
      <c r="AO685" s="77"/>
      <c r="AP685" s="77"/>
      <c r="AQ685" s="77"/>
      <c r="AR685" s="77"/>
      <c r="AS685" s="77"/>
      <c r="AT685" s="77"/>
      <c r="AU685" s="77"/>
      <c r="AV685" s="80" t="str">
        <f>HYPERLINK("https://pbs.twimg.com/profile_images/1283576393662636034/EjgsMA_W_normal.jpg")</f>
        <v>https://pbs.twimg.com/profile_images/1283576393662636034/EjgsMA_W_normal.jpg</v>
      </c>
      <c r="AW685" s="82" t="s">
        <v>5018</v>
      </c>
      <c r="AX685" s="82" t="s">
        <v>5470</v>
      </c>
      <c r="AY685" s="82" t="s">
        <v>5605</v>
      </c>
      <c r="AZ685" s="82" t="s">
        <v>5750</v>
      </c>
      <c r="BA685" s="82" t="s">
        <v>5615</v>
      </c>
      <c r="BB685" s="82" t="s">
        <v>5615</v>
      </c>
      <c r="BC685" s="82" t="s">
        <v>5750</v>
      </c>
      <c r="BD685" s="82" t="s">
        <v>5605</v>
      </c>
      <c r="BE685" s="77"/>
      <c r="BF685" s="77"/>
      <c r="BG685" s="77"/>
      <c r="BH685" s="77"/>
      <c r="BI685" s="77"/>
    </row>
    <row r="686" spans="1:61" x14ac:dyDescent="0.25">
      <c r="A686" s="62" t="s">
        <v>475</v>
      </c>
      <c r="B686" s="62" t="s">
        <v>475</v>
      </c>
      <c r="C686" s="63"/>
      <c r="D686" s="64"/>
      <c r="E686" s="65"/>
      <c r="F686" s="66"/>
      <c r="G686" s="63"/>
      <c r="H686" s="67"/>
      <c r="I686" s="68"/>
      <c r="J686" s="68"/>
      <c r="K686" s="32"/>
      <c r="L686" s="75">
        <v>686</v>
      </c>
      <c r="M686" s="75"/>
      <c r="N686" s="70"/>
      <c r="O686" s="77" t="s">
        <v>583</v>
      </c>
      <c r="P686" s="79">
        <v>44964.44059027778</v>
      </c>
      <c r="Q686" s="77" t="s">
        <v>1236</v>
      </c>
      <c r="R686" s="77">
        <v>0</v>
      </c>
      <c r="S686" s="77">
        <v>0</v>
      </c>
      <c r="T686" s="77">
        <v>0</v>
      </c>
      <c r="U686" s="77">
        <v>0</v>
      </c>
      <c r="V686" s="77">
        <v>10</v>
      </c>
      <c r="W686" s="82" t="s">
        <v>1947</v>
      </c>
      <c r="X686" s="77"/>
      <c r="Y686" s="77"/>
      <c r="Z686" s="77"/>
      <c r="AA686" s="77"/>
      <c r="AB686" s="77"/>
      <c r="AC686" s="82" t="s">
        <v>2720</v>
      </c>
      <c r="AD686" s="77" t="s">
        <v>2752</v>
      </c>
      <c r="AE686" s="80" t="str">
        <f>HYPERLINK("https://twitter.com/economedicos/status/1622906630844170240")</f>
        <v>https://twitter.com/economedicos/status/1622906630844170240</v>
      </c>
      <c r="AF686" s="79">
        <v>44964.44059027778</v>
      </c>
      <c r="AG686" s="85">
        <v>44964</v>
      </c>
      <c r="AH686" s="82" t="s">
        <v>3436</v>
      </c>
      <c r="AI686" s="77"/>
      <c r="AJ686" s="77"/>
      <c r="AK686" s="77"/>
      <c r="AL686" s="77"/>
      <c r="AM686" s="77"/>
      <c r="AN686" s="77"/>
      <c r="AO686" s="77"/>
      <c r="AP686" s="77"/>
      <c r="AQ686" s="77"/>
      <c r="AR686" s="77"/>
      <c r="AS686" s="77"/>
      <c r="AT686" s="77"/>
      <c r="AU686" s="77"/>
      <c r="AV686" s="80" t="str">
        <f>HYPERLINK("https://pbs.twimg.com/profile_images/1283576393662636034/EjgsMA_W_normal.jpg")</f>
        <v>https://pbs.twimg.com/profile_images/1283576393662636034/EjgsMA_W_normal.jpg</v>
      </c>
      <c r="AW686" s="82" t="s">
        <v>5019</v>
      </c>
      <c r="AX686" s="82" t="s">
        <v>5471</v>
      </c>
      <c r="AY686" s="82" t="s">
        <v>5605</v>
      </c>
      <c r="AZ686" s="82" t="s">
        <v>5751</v>
      </c>
      <c r="BA686" s="82" t="s">
        <v>5615</v>
      </c>
      <c r="BB686" s="82" t="s">
        <v>5615</v>
      </c>
      <c r="BC686" s="82" t="s">
        <v>5751</v>
      </c>
      <c r="BD686" s="82" t="s">
        <v>5605</v>
      </c>
      <c r="BE686" s="77"/>
      <c r="BF686" s="77"/>
      <c r="BG686" s="77"/>
      <c r="BH686" s="77"/>
      <c r="BI686" s="77"/>
    </row>
    <row r="687" spans="1:61" x14ac:dyDescent="0.25">
      <c r="A687" s="62" t="s">
        <v>475</v>
      </c>
      <c r="B687" s="62" t="s">
        <v>475</v>
      </c>
      <c r="C687" s="63"/>
      <c r="D687" s="64"/>
      <c r="E687" s="65"/>
      <c r="F687" s="66"/>
      <c r="G687" s="63"/>
      <c r="H687" s="67"/>
      <c r="I687" s="68"/>
      <c r="J687" s="68"/>
      <c r="K687" s="32"/>
      <c r="L687" s="75">
        <v>687</v>
      </c>
      <c r="M687" s="75"/>
      <c r="N687" s="70"/>
      <c r="O687" s="77" t="s">
        <v>583</v>
      </c>
      <c r="P687" s="79">
        <v>44963.453101851854</v>
      </c>
      <c r="Q687" s="77" t="s">
        <v>1237</v>
      </c>
      <c r="R687" s="77">
        <v>0</v>
      </c>
      <c r="S687" s="77">
        <v>1</v>
      </c>
      <c r="T687" s="77">
        <v>0</v>
      </c>
      <c r="U687" s="77">
        <v>0</v>
      </c>
      <c r="V687" s="77">
        <v>9</v>
      </c>
      <c r="W687" s="82" t="s">
        <v>1947</v>
      </c>
      <c r="X687" s="77"/>
      <c r="Y687" s="77"/>
      <c r="Z687" s="77"/>
      <c r="AA687" s="77"/>
      <c r="AB687" s="77"/>
      <c r="AC687" s="82" t="s">
        <v>2720</v>
      </c>
      <c r="AD687" s="77" t="s">
        <v>2752</v>
      </c>
      <c r="AE687" s="80" t="str">
        <f>HYPERLINK("https://twitter.com/economedicos/status/1622548777260273665")</f>
        <v>https://twitter.com/economedicos/status/1622548777260273665</v>
      </c>
      <c r="AF687" s="79">
        <v>44963.453101851854</v>
      </c>
      <c r="AG687" s="85">
        <v>44963</v>
      </c>
      <c r="AH687" s="82" t="s">
        <v>3437</v>
      </c>
      <c r="AI687" s="77"/>
      <c r="AJ687" s="77"/>
      <c r="AK687" s="77"/>
      <c r="AL687" s="77"/>
      <c r="AM687" s="77"/>
      <c r="AN687" s="77"/>
      <c r="AO687" s="77"/>
      <c r="AP687" s="77"/>
      <c r="AQ687" s="77"/>
      <c r="AR687" s="77"/>
      <c r="AS687" s="77"/>
      <c r="AT687" s="77"/>
      <c r="AU687" s="77"/>
      <c r="AV687" s="80" t="str">
        <f>HYPERLINK("https://pbs.twimg.com/profile_images/1283576393662636034/EjgsMA_W_normal.jpg")</f>
        <v>https://pbs.twimg.com/profile_images/1283576393662636034/EjgsMA_W_normal.jpg</v>
      </c>
      <c r="AW687" s="82" t="s">
        <v>5020</v>
      </c>
      <c r="AX687" s="82" t="s">
        <v>5472</v>
      </c>
      <c r="AY687" s="82" t="s">
        <v>5605</v>
      </c>
      <c r="AZ687" s="82" t="s">
        <v>5752</v>
      </c>
      <c r="BA687" s="82" t="s">
        <v>5615</v>
      </c>
      <c r="BB687" s="82" t="s">
        <v>5615</v>
      </c>
      <c r="BC687" s="82" t="s">
        <v>5752</v>
      </c>
      <c r="BD687" s="82" t="s">
        <v>5605</v>
      </c>
      <c r="BE687" s="77"/>
      <c r="BF687" s="77"/>
      <c r="BG687" s="77"/>
      <c r="BH687" s="77"/>
      <c r="BI687" s="77"/>
    </row>
    <row r="688" spans="1:61" x14ac:dyDescent="0.25">
      <c r="A688" s="62" t="s">
        <v>475</v>
      </c>
      <c r="B688" s="62" t="s">
        <v>475</v>
      </c>
      <c r="C688" s="63"/>
      <c r="D688" s="64"/>
      <c r="E688" s="65"/>
      <c r="F688" s="66"/>
      <c r="G688" s="63"/>
      <c r="H688" s="67"/>
      <c r="I688" s="68"/>
      <c r="J688" s="68"/>
      <c r="K688" s="32"/>
      <c r="L688" s="75">
        <v>688</v>
      </c>
      <c r="M688" s="75"/>
      <c r="N688" s="70"/>
      <c r="O688" s="77" t="s">
        <v>583</v>
      </c>
      <c r="P688" s="79">
        <v>44960.468576388892</v>
      </c>
      <c r="Q688" s="77" t="s">
        <v>1238</v>
      </c>
      <c r="R688" s="77">
        <v>0</v>
      </c>
      <c r="S688" s="77">
        <v>0</v>
      </c>
      <c r="T688" s="77">
        <v>0</v>
      </c>
      <c r="U688" s="77">
        <v>0</v>
      </c>
      <c r="V688" s="77">
        <v>6</v>
      </c>
      <c r="W688" s="82" t="s">
        <v>1947</v>
      </c>
      <c r="X688" s="77"/>
      <c r="Y688" s="77"/>
      <c r="Z688" s="77"/>
      <c r="AA688" s="77"/>
      <c r="AB688" s="77"/>
      <c r="AC688" s="82" t="s">
        <v>2720</v>
      </c>
      <c r="AD688" s="77" t="s">
        <v>2752</v>
      </c>
      <c r="AE688" s="80" t="str">
        <f>HYPERLINK("https://twitter.com/economedicos/status/1621467219828916226")</f>
        <v>https://twitter.com/economedicos/status/1621467219828916226</v>
      </c>
      <c r="AF688" s="79">
        <v>44960.468576388892</v>
      </c>
      <c r="AG688" s="85">
        <v>44960</v>
      </c>
      <c r="AH688" s="82" t="s">
        <v>3438</v>
      </c>
      <c r="AI688" s="77"/>
      <c r="AJ688" s="77"/>
      <c r="AK688" s="77"/>
      <c r="AL688" s="77"/>
      <c r="AM688" s="77"/>
      <c r="AN688" s="77"/>
      <c r="AO688" s="77"/>
      <c r="AP688" s="77"/>
      <c r="AQ688" s="77"/>
      <c r="AR688" s="77"/>
      <c r="AS688" s="77"/>
      <c r="AT688" s="77"/>
      <c r="AU688" s="77"/>
      <c r="AV688" s="80" t="str">
        <f>HYPERLINK("https://pbs.twimg.com/profile_images/1283576393662636034/EjgsMA_W_normal.jpg")</f>
        <v>https://pbs.twimg.com/profile_images/1283576393662636034/EjgsMA_W_normal.jpg</v>
      </c>
      <c r="AW688" s="82" t="s">
        <v>5021</v>
      </c>
      <c r="AX688" s="82" t="s">
        <v>5473</v>
      </c>
      <c r="AY688" s="82" t="s">
        <v>5605</v>
      </c>
      <c r="AZ688" s="82" t="s">
        <v>5753</v>
      </c>
      <c r="BA688" s="82" t="s">
        <v>5615</v>
      </c>
      <c r="BB688" s="82" t="s">
        <v>5615</v>
      </c>
      <c r="BC688" s="82" t="s">
        <v>5753</v>
      </c>
      <c r="BD688" s="82" t="s">
        <v>5605</v>
      </c>
      <c r="BE688" s="77"/>
      <c r="BF688" s="77"/>
      <c r="BG688" s="77"/>
      <c r="BH688" s="77"/>
      <c r="BI688" s="77"/>
    </row>
    <row r="689" spans="1:61" x14ac:dyDescent="0.25">
      <c r="A689" s="62" t="s">
        <v>475</v>
      </c>
      <c r="B689" s="62" t="s">
        <v>475</v>
      </c>
      <c r="C689" s="63"/>
      <c r="D689" s="64"/>
      <c r="E689" s="65"/>
      <c r="F689" s="66"/>
      <c r="G689" s="63"/>
      <c r="H689" s="67"/>
      <c r="I689" s="68"/>
      <c r="J689" s="68"/>
      <c r="K689" s="32"/>
      <c r="L689" s="75">
        <v>689</v>
      </c>
      <c r="M689" s="75"/>
      <c r="N689" s="70"/>
      <c r="O689" s="77" t="s">
        <v>583</v>
      </c>
      <c r="P689" s="79">
        <v>44953.460601851853</v>
      </c>
      <c r="Q689" s="77" t="s">
        <v>1239</v>
      </c>
      <c r="R689" s="77">
        <v>0</v>
      </c>
      <c r="S689" s="77">
        <v>0</v>
      </c>
      <c r="T689" s="77">
        <v>0</v>
      </c>
      <c r="U689" s="77">
        <v>0</v>
      </c>
      <c r="V689" s="77">
        <v>8</v>
      </c>
      <c r="W689" s="82" t="s">
        <v>1947</v>
      </c>
      <c r="X689" s="77"/>
      <c r="Y689" s="77"/>
      <c r="Z689" s="77"/>
      <c r="AA689" s="77"/>
      <c r="AB689" s="77"/>
      <c r="AC689" s="82" t="s">
        <v>2720</v>
      </c>
      <c r="AD689" s="77" t="s">
        <v>2752</v>
      </c>
      <c r="AE689" s="80" t="str">
        <f>HYPERLINK("https://twitter.com/economedicos/status/1618927616123338753")</f>
        <v>https://twitter.com/economedicos/status/1618927616123338753</v>
      </c>
      <c r="AF689" s="79">
        <v>44953.460601851853</v>
      </c>
      <c r="AG689" s="85">
        <v>44953</v>
      </c>
      <c r="AH689" s="82" t="s">
        <v>3439</v>
      </c>
      <c r="AI689" s="77"/>
      <c r="AJ689" s="77"/>
      <c r="AK689" s="77"/>
      <c r="AL689" s="77"/>
      <c r="AM689" s="77"/>
      <c r="AN689" s="77"/>
      <c r="AO689" s="77"/>
      <c r="AP689" s="77"/>
      <c r="AQ689" s="77"/>
      <c r="AR689" s="77"/>
      <c r="AS689" s="77"/>
      <c r="AT689" s="77"/>
      <c r="AU689" s="77"/>
      <c r="AV689" s="80" t="str">
        <f>HYPERLINK("https://pbs.twimg.com/profile_images/1283576393662636034/EjgsMA_W_normal.jpg")</f>
        <v>https://pbs.twimg.com/profile_images/1283576393662636034/EjgsMA_W_normal.jpg</v>
      </c>
      <c r="AW689" s="82" t="s">
        <v>5022</v>
      </c>
      <c r="AX689" s="82" t="s">
        <v>5474</v>
      </c>
      <c r="AY689" s="82" t="s">
        <v>5605</v>
      </c>
      <c r="AZ689" s="82" t="s">
        <v>5754</v>
      </c>
      <c r="BA689" s="82" t="s">
        <v>5615</v>
      </c>
      <c r="BB689" s="82" t="s">
        <v>5615</v>
      </c>
      <c r="BC689" s="82" t="s">
        <v>5754</v>
      </c>
      <c r="BD689" s="82" t="s">
        <v>5605</v>
      </c>
      <c r="BE689" s="77"/>
      <c r="BF689" s="77"/>
      <c r="BG689" s="77"/>
      <c r="BH689" s="77"/>
      <c r="BI689" s="77"/>
    </row>
    <row r="690" spans="1:61" x14ac:dyDescent="0.25">
      <c r="A690" s="62" t="s">
        <v>475</v>
      </c>
      <c r="B690" s="62" t="s">
        <v>475</v>
      </c>
      <c r="C690" s="63"/>
      <c r="D690" s="64"/>
      <c r="E690" s="65"/>
      <c r="F690" s="66"/>
      <c r="G690" s="63"/>
      <c r="H690" s="67"/>
      <c r="I690" s="68"/>
      <c r="J690" s="68"/>
      <c r="K690" s="32"/>
      <c r="L690" s="75">
        <v>690</v>
      </c>
      <c r="M690" s="75"/>
      <c r="N690" s="70"/>
      <c r="O690" s="77" t="s">
        <v>583</v>
      </c>
      <c r="P690" s="79">
        <v>44952.446863425925</v>
      </c>
      <c r="Q690" s="77" t="s">
        <v>1240</v>
      </c>
      <c r="R690" s="77">
        <v>0</v>
      </c>
      <c r="S690" s="77">
        <v>0</v>
      </c>
      <c r="T690" s="77">
        <v>0</v>
      </c>
      <c r="U690" s="77">
        <v>0</v>
      </c>
      <c r="V690" s="77">
        <v>11</v>
      </c>
      <c r="W690" s="82" t="s">
        <v>1947</v>
      </c>
      <c r="X690" s="77"/>
      <c r="Y690" s="77"/>
      <c r="Z690" s="77"/>
      <c r="AA690" s="77"/>
      <c r="AB690" s="77"/>
      <c r="AC690" s="82" t="s">
        <v>2720</v>
      </c>
      <c r="AD690" s="77" t="s">
        <v>2752</v>
      </c>
      <c r="AE690" s="80" t="str">
        <f>HYPERLINK("https://twitter.com/economedicos/status/1618560248717152259")</f>
        <v>https://twitter.com/economedicos/status/1618560248717152259</v>
      </c>
      <c r="AF690" s="79">
        <v>44952.446863425925</v>
      </c>
      <c r="AG690" s="85">
        <v>44952</v>
      </c>
      <c r="AH690" s="82" t="s">
        <v>3440</v>
      </c>
      <c r="AI690" s="77"/>
      <c r="AJ690" s="77"/>
      <c r="AK690" s="77"/>
      <c r="AL690" s="77"/>
      <c r="AM690" s="77"/>
      <c r="AN690" s="77"/>
      <c r="AO690" s="77"/>
      <c r="AP690" s="77"/>
      <c r="AQ690" s="77"/>
      <c r="AR690" s="77"/>
      <c r="AS690" s="77"/>
      <c r="AT690" s="77"/>
      <c r="AU690" s="77"/>
      <c r="AV690" s="80" t="str">
        <f>HYPERLINK("https://pbs.twimg.com/profile_images/1283576393662636034/EjgsMA_W_normal.jpg")</f>
        <v>https://pbs.twimg.com/profile_images/1283576393662636034/EjgsMA_W_normal.jpg</v>
      </c>
      <c r="AW690" s="82" t="s">
        <v>5023</v>
      </c>
      <c r="AX690" s="82" t="s">
        <v>5475</v>
      </c>
      <c r="AY690" s="82" t="s">
        <v>5605</v>
      </c>
      <c r="AZ690" s="82" t="s">
        <v>5755</v>
      </c>
      <c r="BA690" s="82" t="s">
        <v>5615</v>
      </c>
      <c r="BB690" s="82" t="s">
        <v>5615</v>
      </c>
      <c r="BC690" s="82" t="s">
        <v>5755</v>
      </c>
      <c r="BD690" s="82" t="s">
        <v>5605</v>
      </c>
      <c r="BE690" s="77"/>
      <c r="BF690" s="77"/>
      <c r="BG690" s="77"/>
      <c r="BH690" s="77"/>
      <c r="BI690" s="77"/>
    </row>
    <row r="691" spans="1:61" x14ac:dyDescent="0.25">
      <c r="A691" s="62" t="s">
        <v>475</v>
      </c>
      <c r="B691" s="62" t="s">
        <v>475</v>
      </c>
      <c r="C691" s="63"/>
      <c r="D691" s="64"/>
      <c r="E691" s="65"/>
      <c r="F691" s="66"/>
      <c r="G691" s="63"/>
      <c r="H691" s="67"/>
      <c r="I691" s="68"/>
      <c r="J691" s="68"/>
      <c r="K691" s="32"/>
      <c r="L691" s="75">
        <v>691</v>
      </c>
      <c r="M691" s="75"/>
      <c r="N691" s="70"/>
      <c r="O691" s="77" t="s">
        <v>583</v>
      </c>
      <c r="P691" s="79">
        <v>44951.430763888886</v>
      </c>
      <c r="Q691" s="77" t="s">
        <v>1241</v>
      </c>
      <c r="R691" s="77">
        <v>0</v>
      </c>
      <c r="S691" s="77">
        <v>0</v>
      </c>
      <c r="T691" s="77">
        <v>0</v>
      </c>
      <c r="U691" s="77">
        <v>0</v>
      </c>
      <c r="V691" s="77">
        <v>3</v>
      </c>
      <c r="W691" s="82" t="s">
        <v>1947</v>
      </c>
      <c r="X691" s="77"/>
      <c r="Y691" s="77"/>
      <c r="Z691" s="77"/>
      <c r="AA691" s="77"/>
      <c r="AB691" s="77"/>
      <c r="AC691" s="82" t="s">
        <v>2720</v>
      </c>
      <c r="AD691" s="77" t="s">
        <v>2752</v>
      </c>
      <c r="AE691" s="80" t="str">
        <f>HYPERLINK("https://twitter.com/economedicos/status/1618192028361461760")</f>
        <v>https://twitter.com/economedicos/status/1618192028361461760</v>
      </c>
      <c r="AF691" s="79">
        <v>44951.430763888886</v>
      </c>
      <c r="AG691" s="85">
        <v>44951</v>
      </c>
      <c r="AH691" s="82" t="s">
        <v>3441</v>
      </c>
      <c r="AI691" s="77"/>
      <c r="AJ691" s="77"/>
      <c r="AK691" s="77"/>
      <c r="AL691" s="77"/>
      <c r="AM691" s="77"/>
      <c r="AN691" s="77"/>
      <c r="AO691" s="77"/>
      <c r="AP691" s="77"/>
      <c r="AQ691" s="77"/>
      <c r="AR691" s="77"/>
      <c r="AS691" s="77"/>
      <c r="AT691" s="77"/>
      <c r="AU691" s="77"/>
      <c r="AV691" s="80" t="str">
        <f>HYPERLINK("https://pbs.twimg.com/profile_images/1283576393662636034/EjgsMA_W_normal.jpg")</f>
        <v>https://pbs.twimg.com/profile_images/1283576393662636034/EjgsMA_W_normal.jpg</v>
      </c>
      <c r="AW691" s="82" t="s">
        <v>5024</v>
      </c>
      <c r="AX691" s="82" t="s">
        <v>5476</v>
      </c>
      <c r="AY691" s="82" t="s">
        <v>5605</v>
      </c>
      <c r="AZ691" s="82" t="s">
        <v>5756</v>
      </c>
      <c r="BA691" s="82" t="s">
        <v>5615</v>
      </c>
      <c r="BB691" s="82" t="s">
        <v>5615</v>
      </c>
      <c r="BC691" s="82" t="s">
        <v>5756</v>
      </c>
      <c r="BD691" s="82" t="s">
        <v>5605</v>
      </c>
      <c r="BE691" s="77"/>
      <c r="BF691" s="77"/>
      <c r="BG691" s="77"/>
      <c r="BH691" s="77"/>
      <c r="BI691" s="77"/>
    </row>
    <row r="692" spans="1:61" x14ac:dyDescent="0.25">
      <c r="A692" s="62" t="s">
        <v>475</v>
      </c>
      <c r="B692" s="62" t="s">
        <v>475</v>
      </c>
      <c r="C692" s="63"/>
      <c r="D692" s="64"/>
      <c r="E692" s="65"/>
      <c r="F692" s="66"/>
      <c r="G692" s="63"/>
      <c r="H692" s="67"/>
      <c r="I692" s="68"/>
      <c r="J692" s="68"/>
      <c r="K692" s="32"/>
      <c r="L692" s="75">
        <v>692</v>
      </c>
      <c r="M692" s="75"/>
      <c r="N692" s="70"/>
      <c r="O692" s="77" t="s">
        <v>583</v>
      </c>
      <c r="P692" s="79">
        <v>45168.452245370368</v>
      </c>
      <c r="Q692" s="77" t="s">
        <v>1242</v>
      </c>
      <c r="R692" s="77">
        <v>0</v>
      </c>
      <c r="S692" s="77">
        <v>0</v>
      </c>
      <c r="T692" s="77">
        <v>0</v>
      </c>
      <c r="U692" s="77">
        <v>0</v>
      </c>
      <c r="V692" s="77">
        <v>8</v>
      </c>
      <c r="W692" s="82" t="s">
        <v>1947</v>
      </c>
      <c r="X692" s="77"/>
      <c r="Y692" s="77"/>
      <c r="Z692" s="77"/>
      <c r="AA692" s="77"/>
      <c r="AB692" s="77"/>
      <c r="AC692" s="82" t="s">
        <v>2720</v>
      </c>
      <c r="AD692" s="77" t="s">
        <v>2752</v>
      </c>
      <c r="AE692" s="80" t="str">
        <f>HYPERLINK("https://twitter.com/economedicos/status/1696837978239168748")</f>
        <v>https://twitter.com/economedicos/status/1696837978239168748</v>
      </c>
      <c r="AF692" s="79">
        <v>45168.452245370368</v>
      </c>
      <c r="AG692" s="85">
        <v>45168</v>
      </c>
      <c r="AH692" s="82" t="s">
        <v>3442</v>
      </c>
      <c r="AI692" s="77"/>
      <c r="AJ692" s="77"/>
      <c r="AK692" s="77"/>
      <c r="AL692" s="77"/>
      <c r="AM692" s="77"/>
      <c r="AN692" s="77"/>
      <c r="AO692" s="77"/>
      <c r="AP692" s="77"/>
      <c r="AQ692" s="77"/>
      <c r="AR692" s="77"/>
      <c r="AS692" s="77"/>
      <c r="AT692" s="77"/>
      <c r="AU692" s="77"/>
      <c r="AV692" s="80" t="str">
        <f>HYPERLINK("https://pbs.twimg.com/profile_images/1283576393662636034/EjgsMA_W_normal.jpg")</f>
        <v>https://pbs.twimg.com/profile_images/1283576393662636034/EjgsMA_W_normal.jpg</v>
      </c>
      <c r="AW692" s="82" t="s">
        <v>5025</v>
      </c>
      <c r="AX692" s="82" t="s">
        <v>5477</v>
      </c>
      <c r="AY692" s="82" t="s">
        <v>5605</v>
      </c>
      <c r="AZ692" s="82" t="s">
        <v>5757</v>
      </c>
      <c r="BA692" s="82" t="s">
        <v>5615</v>
      </c>
      <c r="BB692" s="82" t="s">
        <v>5615</v>
      </c>
      <c r="BC692" s="82" t="s">
        <v>5757</v>
      </c>
      <c r="BD692" s="82" t="s">
        <v>5605</v>
      </c>
      <c r="BE692" s="77"/>
      <c r="BF692" s="77"/>
      <c r="BG692" s="77"/>
      <c r="BH692" s="77"/>
      <c r="BI692" s="77"/>
    </row>
    <row r="693" spans="1:61" x14ac:dyDescent="0.25">
      <c r="A693" s="62" t="s">
        <v>475</v>
      </c>
      <c r="B693" s="62" t="s">
        <v>475</v>
      </c>
      <c r="C693" s="63"/>
      <c r="D693" s="64"/>
      <c r="E693" s="65"/>
      <c r="F693" s="66"/>
      <c r="G693" s="63"/>
      <c r="H693" s="67"/>
      <c r="I693" s="68"/>
      <c r="J693" s="68"/>
      <c r="K693" s="32"/>
      <c r="L693" s="75">
        <v>693</v>
      </c>
      <c r="M693" s="75"/>
      <c r="N693" s="70"/>
      <c r="O693" s="77" t="s">
        <v>583</v>
      </c>
      <c r="P693" s="79">
        <v>45167.452905092592</v>
      </c>
      <c r="Q693" s="77" t="s">
        <v>1243</v>
      </c>
      <c r="R693" s="77">
        <v>0</v>
      </c>
      <c r="S693" s="77">
        <v>0</v>
      </c>
      <c r="T693" s="77">
        <v>0</v>
      </c>
      <c r="U693" s="77">
        <v>0</v>
      </c>
      <c r="V693" s="77">
        <v>10</v>
      </c>
      <c r="W693" s="82" t="s">
        <v>1947</v>
      </c>
      <c r="X693" s="77"/>
      <c r="Y693" s="77"/>
      <c r="Z693" s="77"/>
      <c r="AA693" s="77"/>
      <c r="AB693" s="77"/>
      <c r="AC693" s="82" t="s">
        <v>2720</v>
      </c>
      <c r="AD693" s="77" t="s">
        <v>2752</v>
      </c>
      <c r="AE693" s="80" t="str">
        <f>HYPERLINK("https://twitter.com/economedicos/status/1696475828081590297")</f>
        <v>https://twitter.com/economedicos/status/1696475828081590297</v>
      </c>
      <c r="AF693" s="79">
        <v>45167.452905092592</v>
      </c>
      <c r="AG693" s="85">
        <v>45167</v>
      </c>
      <c r="AH693" s="82" t="s">
        <v>3443</v>
      </c>
      <c r="AI693" s="77"/>
      <c r="AJ693" s="77"/>
      <c r="AK693" s="77"/>
      <c r="AL693" s="77"/>
      <c r="AM693" s="77"/>
      <c r="AN693" s="77"/>
      <c r="AO693" s="77"/>
      <c r="AP693" s="77"/>
      <c r="AQ693" s="77"/>
      <c r="AR693" s="77"/>
      <c r="AS693" s="77"/>
      <c r="AT693" s="77"/>
      <c r="AU693" s="77"/>
      <c r="AV693" s="80" t="str">
        <f>HYPERLINK("https://pbs.twimg.com/profile_images/1283576393662636034/EjgsMA_W_normal.jpg")</f>
        <v>https://pbs.twimg.com/profile_images/1283576393662636034/EjgsMA_W_normal.jpg</v>
      </c>
      <c r="AW693" s="82" t="s">
        <v>5026</v>
      </c>
      <c r="AX693" s="82" t="s">
        <v>5478</v>
      </c>
      <c r="AY693" s="82" t="s">
        <v>5605</v>
      </c>
      <c r="AZ693" s="82" t="s">
        <v>5758</v>
      </c>
      <c r="BA693" s="82" t="s">
        <v>5615</v>
      </c>
      <c r="BB693" s="82" t="s">
        <v>5615</v>
      </c>
      <c r="BC693" s="82" t="s">
        <v>5758</v>
      </c>
      <c r="BD693" s="82" t="s">
        <v>5605</v>
      </c>
      <c r="BE693" s="77"/>
      <c r="BF693" s="77"/>
      <c r="BG693" s="77"/>
      <c r="BH693" s="77"/>
      <c r="BI693" s="77"/>
    </row>
    <row r="694" spans="1:61" x14ac:dyDescent="0.25">
      <c r="A694" s="62" t="s">
        <v>475</v>
      </c>
      <c r="B694" s="62" t="s">
        <v>475</v>
      </c>
      <c r="C694" s="63"/>
      <c r="D694" s="64"/>
      <c r="E694" s="65"/>
      <c r="F694" s="66"/>
      <c r="G694" s="63"/>
      <c r="H694" s="67"/>
      <c r="I694" s="68"/>
      <c r="J694" s="68"/>
      <c r="K694" s="32"/>
      <c r="L694" s="75">
        <v>694</v>
      </c>
      <c r="M694" s="75"/>
      <c r="N694" s="70"/>
      <c r="O694" s="77" t="s">
        <v>583</v>
      </c>
      <c r="P694" s="79">
        <v>45166.468287037038</v>
      </c>
      <c r="Q694" s="77" t="s">
        <v>1244</v>
      </c>
      <c r="R694" s="77">
        <v>0</v>
      </c>
      <c r="S694" s="77">
        <v>0</v>
      </c>
      <c r="T694" s="77">
        <v>0</v>
      </c>
      <c r="U694" s="77">
        <v>0</v>
      </c>
      <c r="V694" s="77">
        <v>10</v>
      </c>
      <c r="W694" s="82" t="s">
        <v>1949</v>
      </c>
      <c r="X694" s="77"/>
      <c r="Y694" s="77"/>
      <c r="Z694" s="77"/>
      <c r="AA694" s="77"/>
      <c r="AB694" s="77"/>
      <c r="AC694" s="82" t="s">
        <v>2720</v>
      </c>
      <c r="AD694" s="77" t="s">
        <v>2752</v>
      </c>
      <c r="AE694" s="80" t="str">
        <f>HYPERLINK("https://twitter.com/economedicos/status/1696119014215368833")</f>
        <v>https://twitter.com/economedicos/status/1696119014215368833</v>
      </c>
      <c r="AF694" s="79">
        <v>45166.468287037038</v>
      </c>
      <c r="AG694" s="85">
        <v>45166</v>
      </c>
      <c r="AH694" s="82" t="s">
        <v>3444</v>
      </c>
      <c r="AI694" s="77"/>
      <c r="AJ694" s="77"/>
      <c r="AK694" s="77"/>
      <c r="AL694" s="77"/>
      <c r="AM694" s="77"/>
      <c r="AN694" s="77"/>
      <c r="AO694" s="77"/>
      <c r="AP694" s="77"/>
      <c r="AQ694" s="77"/>
      <c r="AR694" s="77"/>
      <c r="AS694" s="77"/>
      <c r="AT694" s="77"/>
      <c r="AU694" s="77"/>
      <c r="AV694" s="80" t="str">
        <f>HYPERLINK("https://pbs.twimg.com/profile_images/1283576393662636034/EjgsMA_W_normal.jpg")</f>
        <v>https://pbs.twimg.com/profile_images/1283576393662636034/EjgsMA_W_normal.jpg</v>
      </c>
      <c r="AW694" s="82" t="s">
        <v>5027</v>
      </c>
      <c r="AX694" s="82" t="s">
        <v>5479</v>
      </c>
      <c r="AY694" s="82" t="s">
        <v>5605</v>
      </c>
      <c r="AZ694" s="82" t="s">
        <v>5759</v>
      </c>
      <c r="BA694" s="82" t="s">
        <v>5615</v>
      </c>
      <c r="BB694" s="82" t="s">
        <v>5615</v>
      </c>
      <c r="BC694" s="82" t="s">
        <v>5759</v>
      </c>
      <c r="BD694" s="82" t="s">
        <v>5605</v>
      </c>
      <c r="BE694" s="77"/>
      <c r="BF694" s="77"/>
      <c r="BG694" s="77"/>
      <c r="BH694" s="77"/>
      <c r="BI694" s="77"/>
    </row>
    <row r="695" spans="1:61" x14ac:dyDescent="0.25">
      <c r="A695" s="62" t="s">
        <v>475</v>
      </c>
      <c r="B695" s="62" t="s">
        <v>475</v>
      </c>
      <c r="C695" s="63"/>
      <c r="D695" s="64"/>
      <c r="E695" s="65"/>
      <c r="F695" s="66"/>
      <c r="G695" s="63"/>
      <c r="H695" s="67"/>
      <c r="I695" s="68"/>
      <c r="J695" s="68"/>
      <c r="K695" s="32"/>
      <c r="L695" s="75">
        <v>695</v>
      </c>
      <c r="M695" s="75"/>
      <c r="N695" s="70"/>
      <c r="O695" s="77" t="s">
        <v>583</v>
      </c>
      <c r="P695" s="79">
        <v>45156.464444444442</v>
      </c>
      <c r="Q695" s="77" t="s">
        <v>1245</v>
      </c>
      <c r="R695" s="77">
        <v>0</v>
      </c>
      <c r="S695" s="77">
        <v>0</v>
      </c>
      <c r="T695" s="77">
        <v>0</v>
      </c>
      <c r="U695" s="77">
        <v>0</v>
      </c>
      <c r="V695" s="77">
        <v>10</v>
      </c>
      <c r="W695" s="82" t="s">
        <v>1947</v>
      </c>
      <c r="X695" s="77"/>
      <c r="Y695" s="77"/>
      <c r="Z695" s="77"/>
      <c r="AA695" s="77"/>
      <c r="AB695" s="77"/>
      <c r="AC695" s="82" t="s">
        <v>2720</v>
      </c>
      <c r="AD695" s="77" t="s">
        <v>2752</v>
      </c>
      <c r="AE695" s="80" t="str">
        <f>HYPERLINK("https://twitter.com/economedicos/status/1692493744400994716")</f>
        <v>https://twitter.com/economedicos/status/1692493744400994716</v>
      </c>
      <c r="AF695" s="79">
        <v>45156.464444444442</v>
      </c>
      <c r="AG695" s="85">
        <v>45156</v>
      </c>
      <c r="AH695" s="82" t="s">
        <v>3445</v>
      </c>
      <c r="AI695" s="77"/>
      <c r="AJ695" s="77"/>
      <c r="AK695" s="77"/>
      <c r="AL695" s="77"/>
      <c r="AM695" s="77"/>
      <c r="AN695" s="77"/>
      <c r="AO695" s="77"/>
      <c r="AP695" s="77"/>
      <c r="AQ695" s="77"/>
      <c r="AR695" s="77"/>
      <c r="AS695" s="77"/>
      <c r="AT695" s="77"/>
      <c r="AU695" s="77"/>
      <c r="AV695" s="80" t="str">
        <f>HYPERLINK("https://pbs.twimg.com/profile_images/1283576393662636034/EjgsMA_W_normal.jpg")</f>
        <v>https://pbs.twimg.com/profile_images/1283576393662636034/EjgsMA_W_normal.jpg</v>
      </c>
      <c r="AW695" s="82" t="s">
        <v>5028</v>
      </c>
      <c r="AX695" s="82" t="s">
        <v>5480</v>
      </c>
      <c r="AY695" s="82" t="s">
        <v>5605</v>
      </c>
      <c r="AZ695" s="82" t="s">
        <v>5760</v>
      </c>
      <c r="BA695" s="82" t="s">
        <v>5615</v>
      </c>
      <c r="BB695" s="82" t="s">
        <v>5615</v>
      </c>
      <c r="BC695" s="82" t="s">
        <v>5760</v>
      </c>
      <c r="BD695" s="82" t="s">
        <v>5605</v>
      </c>
      <c r="BE695" s="77"/>
      <c r="BF695" s="77"/>
      <c r="BG695" s="77"/>
      <c r="BH695" s="77"/>
      <c r="BI695" s="77"/>
    </row>
    <row r="696" spans="1:61" x14ac:dyDescent="0.25">
      <c r="A696" s="62" t="s">
        <v>475</v>
      </c>
      <c r="B696" s="62" t="s">
        <v>475</v>
      </c>
      <c r="C696" s="63"/>
      <c r="D696" s="64"/>
      <c r="E696" s="65"/>
      <c r="F696" s="66"/>
      <c r="G696" s="63"/>
      <c r="H696" s="67"/>
      <c r="I696" s="68"/>
      <c r="J696" s="68"/>
      <c r="K696" s="32"/>
      <c r="L696" s="75">
        <v>696</v>
      </c>
      <c r="M696" s="75"/>
      <c r="N696" s="70"/>
      <c r="O696" s="77" t="s">
        <v>583</v>
      </c>
      <c r="P696" s="79">
        <v>45155.459814814814</v>
      </c>
      <c r="Q696" s="77" t="s">
        <v>1246</v>
      </c>
      <c r="R696" s="77">
        <v>0</v>
      </c>
      <c r="S696" s="77">
        <v>0</v>
      </c>
      <c r="T696" s="77">
        <v>0</v>
      </c>
      <c r="U696" s="77">
        <v>0</v>
      </c>
      <c r="V696" s="77">
        <v>6</v>
      </c>
      <c r="W696" s="82" t="s">
        <v>1947</v>
      </c>
      <c r="X696" s="77"/>
      <c r="Y696" s="77"/>
      <c r="Z696" s="77"/>
      <c r="AA696" s="77"/>
      <c r="AB696" s="77"/>
      <c r="AC696" s="82" t="s">
        <v>2720</v>
      </c>
      <c r="AD696" s="77" t="s">
        <v>2752</v>
      </c>
      <c r="AE696" s="80" t="str">
        <f>HYPERLINK("https://twitter.com/economedicos/status/1692129679220605127")</f>
        <v>https://twitter.com/economedicos/status/1692129679220605127</v>
      </c>
      <c r="AF696" s="79">
        <v>45155.459814814814</v>
      </c>
      <c r="AG696" s="85">
        <v>45155</v>
      </c>
      <c r="AH696" s="82" t="s">
        <v>3446</v>
      </c>
      <c r="AI696" s="77"/>
      <c r="AJ696" s="77"/>
      <c r="AK696" s="77"/>
      <c r="AL696" s="77"/>
      <c r="AM696" s="77"/>
      <c r="AN696" s="77"/>
      <c r="AO696" s="77"/>
      <c r="AP696" s="77"/>
      <c r="AQ696" s="77"/>
      <c r="AR696" s="77"/>
      <c r="AS696" s="77"/>
      <c r="AT696" s="77"/>
      <c r="AU696" s="77"/>
      <c r="AV696" s="80" t="str">
        <f>HYPERLINK("https://pbs.twimg.com/profile_images/1283576393662636034/EjgsMA_W_normal.jpg")</f>
        <v>https://pbs.twimg.com/profile_images/1283576393662636034/EjgsMA_W_normal.jpg</v>
      </c>
      <c r="AW696" s="82" t="s">
        <v>5029</v>
      </c>
      <c r="AX696" s="82" t="s">
        <v>5481</v>
      </c>
      <c r="AY696" s="82" t="s">
        <v>5605</v>
      </c>
      <c r="AZ696" s="82" t="s">
        <v>5761</v>
      </c>
      <c r="BA696" s="82" t="s">
        <v>5615</v>
      </c>
      <c r="BB696" s="82" t="s">
        <v>5615</v>
      </c>
      <c r="BC696" s="82" t="s">
        <v>5761</v>
      </c>
      <c r="BD696" s="82" t="s">
        <v>5605</v>
      </c>
      <c r="BE696" s="77"/>
      <c r="BF696" s="77"/>
      <c r="BG696" s="77"/>
      <c r="BH696" s="77"/>
      <c r="BI696" s="77"/>
    </row>
    <row r="697" spans="1:61" x14ac:dyDescent="0.25">
      <c r="A697" s="62" t="s">
        <v>475</v>
      </c>
      <c r="B697" s="62" t="s">
        <v>475</v>
      </c>
      <c r="C697" s="63"/>
      <c r="D697" s="64"/>
      <c r="E697" s="65"/>
      <c r="F697" s="66"/>
      <c r="G697" s="63"/>
      <c r="H697" s="67"/>
      <c r="I697" s="68"/>
      <c r="J697" s="68"/>
      <c r="K697" s="32"/>
      <c r="L697" s="75">
        <v>697</v>
      </c>
      <c r="M697" s="75"/>
      <c r="N697" s="70"/>
      <c r="O697" s="77" t="s">
        <v>583</v>
      </c>
      <c r="P697" s="79">
        <v>45142.546157407407</v>
      </c>
      <c r="Q697" s="77" t="s">
        <v>1247</v>
      </c>
      <c r="R697" s="77">
        <v>0</v>
      </c>
      <c r="S697" s="77">
        <v>0</v>
      </c>
      <c r="T697" s="77">
        <v>0</v>
      </c>
      <c r="U697" s="77">
        <v>0</v>
      </c>
      <c r="V697" s="77">
        <v>18</v>
      </c>
      <c r="W697" s="82" t="s">
        <v>1947</v>
      </c>
      <c r="X697" s="77"/>
      <c r="Y697" s="77"/>
      <c r="Z697" s="77"/>
      <c r="AA697" s="77"/>
      <c r="AB697" s="77"/>
      <c r="AC697" s="82" t="s">
        <v>2720</v>
      </c>
      <c r="AD697" s="77" t="s">
        <v>2752</v>
      </c>
      <c r="AE697" s="80" t="str">
        <f>HYPERLINK("https://twitter.com/economedicos/status/1687449926559576064")</f>
        <v>https://twitter.com/economedicos/status/1687449926559576064</v>
      </c>
      <c r="AF697" s="79">
        <v>45142.546157407407</v>
      </c>
      <c r="AG697" s="85">
        <v>45142</v>
      </c>
      <c r="AH697" s="82" t="s">
        <v>3447</v>
      </c>
      <c r="AI697" s="77"/>
      <c r="AJ697" s="77"/>
      <c r="AK697" s="77"/>
      <c r="AL697" s="77"/>
      <c r="AM697" s="77"/>
      <c r="AN697" s="77"/>
      <c r="AO697" s="77"/>
      <c r="AP697" s="77"/>
      <c r="AQ697" s="77"/>
      <c r="AR697" s="77"/>
      <c r="AS697" s="77"/>
      <c r="AT697" s="77"/>
      <c r="AU697" s="77"/>
      <c r="AV697" s="80" t="str">
        <f>HYPERLINK("https://pbs.twimg.com/profile_images/1283576393662636034/EjgsMA_W_normal.jpg")</f>
        <v>https://pbs.twimg.com/profile_images/1283576393662636034/EjgsMA_W_normal.jpg</v>
      </c>
      <c r="AW697" s="82" t="s">
        <v>5030</v>
      </c>
      <c r="AX697" s="82" t="s">
        <v>5482</v>
      </c>
      <c r="AY697" s="82" t="s">
        <v>5605</v>
      </c>
      <c r="AZ697" s="82" t="s">
        <v>5762</v>
      </c>
      <c r="BA697" s="82" t="s">
        <v>5615</v>
      </c>
      <c r="BB697" s="82" t="s">
        <v>5615</v>
      </c>
      <c r="BC697" s="82" t="s">
        <v>5762</v>
      </c>
      <c r="BD697" s="82" t="s">
        <v>5605</v>
      </c>
      <c r="BE697" s="77"/>
      <c r="BF697" s="77"/>
      <c r="BG697" s="77"/>
      <c r="BH697" s="77"/>
      <c r="BI697" s="77"/>
    </row>
    <row r="698" spans="1:61" x14ac:dyDescent="0.25">
      <c r="A698" s="62" t="s">
        <v>475</v>
      </c>
      <c r="B698" s="62" t="s">
        <v>475</v>
      </c>
      <c r="C698" s="63"/>
      <c r="D698" s="64"/>
      <c r="E698" s="65"/>
      <c r="F698" s="66"/>
      <c r="G698" s="63"/>
      <c r="H698" s="67"/>
      <c r="I698" s="68"/>
      <c r="J698" s="68"/>
      <c r="K698" s="32"/>
      <c r="L698" s="75">
        <v>698</v>
      </c>
      <c r="M698" s="75"/>
      <c r="N698" s="70"/>
      <c r="O698" s="77" t="s">
        <v>583</v>
      </c>
      <c r="P698" s="79">
        <v>45141.447384259256</v>
      </c>
      <c r="Q698" s="77" t="s">
        <v>1248</v>
      </c>
      <c r="R698" s="77">
        <v>0</v>
      </c>
      <c r="S698" s="77">
        <v>0</v>
      </c>
      <c r="T698" s="77">
        <v>0</v>
      </c>
      <c r="U698" s="77">
        <v>0</v>
      </c>
      <c r="V698" s="77">
        <v>14</v>
      </c>
      <c r="W698" s="82" t="s">
        <v>1947</v>
      </c>
      <c r="X698" s="77"/>
      <c r="Y698" s="77"/>
      <c r="Z698" s="77"/>
      <c r="AA698" s="77"/>
      <c r="AB698" s="77"/>
      <c r="AC698" s="82" t="s">
        <v>2720</v>
      </c>
      <c r="AD698" s="77" t="s">
        <v>2752</v>
      </c>
      <c r="AE698" s="80" t="str">
        <f>HYPERLINK("https://twitter.com/economedicos/status/1687051743165657088")</f>
        <v>https://twitter.com/economedicos/status/1687051743165657088</v>
      </c>
      <c r="AF698" s="79">
        <v>45141.447384259256</v>
      </c>
      <c r="AG698" s="85">
        <v>45141</v>
      </c>
      <c r="AH698" s="82" t="s">
        <v>3448</v>
      </c>
      <c r="AI698" s="77"/>
      <c r="AJ698" s="77"/>
      <c r="AK698" s="77"/>
      <c r="AL698" s="77"/>
      <c r="AM698" s="77"/>
      <c r="AN698" s="77"/>
      <c r="AO698" s="77"/>
      <c r="AP698" s="77"/>
      <c r="AQ698" s="77"/>
      <c r="AR698" s="77"/>
      <c r="AS698" s="77"/>
      <c r="AT698" s="77"/>
      <c r="AU698" s="77"/>
      <c r="AV698" s="80" t="str">
        <f>HYPERLINK("https://pbs.twimg.com/profile_images/1283576393662636034/EjgsMA_W_normal.jpg")</f>
        <v>https://pbs.twimg.com/profile_images/1283576393662636034/EjgsMA_W_normal.jpg</v>
      </c>
      <c r="AW698" s="82" t="s">
        <v>5031</v>
      </c>
      <c r="AX698" s="82" t="s">
        <v>5483</v>
      </c>
      <c r="AY698" s="82" t="s">
        <v>5605</v>
      </c>
      <c r="AZ698" s="82" t="s">
        <v>5763</v>
      </c>
      <c r="BA698" s="82" t="s">
        <v>5615</v>
      </c>
      <c r="BB698" s="82" t="s">
        <v>5615</v>
      </c>
      <c r="BC698" s="82" t="s">
        <v>5763</v>
      </c>
      <c r="BD698" s="82" t="s">
        <v>5605</v>
      </c>
      <c r="BE698" s="77"/>
      <c r="BF698" s="77"/>
      <c r="BG698" s="77"/>
      <c r="BH698" s="77"/>
      <c r="BI698" s="77"/>
    </row>
    <row r="699" spans="1:61" x14ac:dyDescent="0.25">
      <c r="A699" s="62" t="s">
        <v>475</v>
      </c>
      <c r="B699" s="62" t="s">
        <v>475</v>
      </c>
      <c r="C699" s="63"/>
      <c r="D699" s="64"/>
      <c r="E699" s="65"/>
      <c r="F699" s="66"/>
      <c r="G699" s="63"/>
      <c r="H699" s="67"/>
      <c r="I699" s="68"/>
      <c r="J699" s="68"/>
      <c r="K699" s="32"/>
      <c r="L699" s="75">
        <v>699</v>
      </c>
      <c r="M699" s="75"/>
      <c r="N699" s="70"/>
      <c r="O699" s="77" t="s">
        <v>583</v>
      </c>
      <c r="P699" s="79">
        <v>45140.449618055558</v>
      </c>
      <c r="Q699" s="77" t="s">
        <v>1249</v>
      </c>
      <c r="R699" s="77">
        <v>0</v>
      </c>
      <c r="S699" s="77">
        <v>0</v>
      </c>
      <c r="T699" s="77">
        <v>0</v>
      </c>
      <c r="U699" s="77">
        <v>0</v>
      </c>
      <c r="V699" s="77">
        <v>27</v>
      </c>
      <c r="W699" s="82" t="s">
        <v>1947</v>
      </c>
      <c r="X699" s="77"/>
      <c r="Y699" s="77"/>
      <c r="Z699" s="77"/>
      <c r="AA699" s="77"/>
      <c r="AB699" s="77"/>
      <c r="AC699" s="82" t="s">
        <v>2720</v>
      </c>
      <c r="AD699" s="77" t="s">
        <v>2752</v>
      </c>
      <c r="AE699" s="80" t="str">
        <f>HYPERLINK("https://twitter.com/economedicos/status/1686690164242882562")</f>
        <v>https://twitter.com/economedicos/status/1686690164242882562</v>
      </c>
      <c r="AF699" s="79">
        <v>45140.449618055558</v>
      </c>
      <c r="AG699" s="85">
        <v>45140</v>
      </c>
      <c r="AH699" s="82" t="s">
        <v>3449</v>
      </c>
      <c r="AI699" s="77"/>
      <c r="AJ699" s="77"/>
      <c r="AK699" s="77"/>
      <c r="AL699" s="77"/>
      <c r="AM699" s="77"/>
      <c r="AN699" s="77"/>
      <c r="AO699" s="77"/>
      <c r="AP699" s="77"/>
      <c r="AQ699" s="77"/>
      <c r="AR699" s="77"/>
      <c r="AS699" s="77"/>
      <c r="AT699" s="77"/>
      <c r="AU699" s="77"/>
      <c r="AV699" s="80" t="str">
        <f>HYPERLINK("https://pbs.twimg.com/profile_images/1283576393662636034/EjgsMA_W_normal.jpg")</f>
        <v>https://pbs.twimg.com/profile_images/1283576393662636034/EjgsMA_W_normal.jpg</v>
      </c>
      <c r="AW699" s="82" t="s">
        <v>5032</v>
      </c>
      <c r="AX699" s="82" t="s">
        <v>5484</v>
      </c>
      <c r="AY699" s="82" t="s">
        <v>5605</v>
      </c>
      <c r="AZ699" s="82" t="s">
        <v>5764</v>
      </c>
      <c r="BA699" s="82" t="s">
        <v>5615</v>
      </c>
      <c r="BB699" s="82" t="s">
        <v>5615</v>
      </c>
      <c r="BC699" s="82" t="s">
        <v>5764</v>
      </c>
      <c r="BD699" s="82" t="s">
        <v>5605</v>
      </c>
      <c r="BE699" s="77"/>
      <c r="BF699" s="77"/>
      <c r="BG699" s="77"/>
      <c r="BH699" s="77"/>
      <c r="BI699" s="77"/>
    </row>
    <row r="700" spans="1:61" x14ac:dyDescent="0.25">
      <c r="A700" s="62" t="s">
        <v>475</v>
      </c>
      <c r="B700" s="62" t="s">
        <v>475</v>
      </c>
      <c r="C700" s="63"/>
      <c r="D700" s="64"/>
      <c r="E700" s="65"/>
      <c r="F700" s="66"/>
      <c r="G700" s="63"/>
      <c r="H700" s="67"/>
      <c r="I700" s="68"/>
      <c r="J700" s="68"/>
      <c r="K700" s="32"/>
      <c r="L700" s="75">
        <v>700</v>
      </c>
      <c r="M700" s="75"/>
      <c r="N700" s="70"/>
      <c r="O700" s="77" t="s">
        <v>583</v>
      </c>
      <c r="P700" s="79">
        <v>45139.481562499997</v>
      </c>
      <c r="Q700" s="77" t="s">
        <v>1250</v>
      </c>
      <c r="R700" s="77">
        <v>0</v>
      </c>
      <c r="S700" s="77">
        <v>0</v>
      </c>
      <c r="T700" s="77">
        <v>0</v>
      </c>
      <c r="U700" s="77">
        <v>0</v>
      </c>
      <c r="V700" s="77">
        <v>16</v>
      </c>
      <c r="W700" s="82" t="s">
        <v>1947</v>
      </c>
      <c r="X700" s="77"/>
      <c r="Y700" s="77"/>
      <c r="Z700" s="77"/>
      <c r="AA700" s="77"/>
      <c r="AB700" s="77"/>
      <c r="AC700" s="82" t="s">
        <v>2720</v>
      </c>
      <c r="AD700" s="77" t="s">
        <v>2752</v>
      </c>
      <c r="AE700" s="80" t="str">
        <f>HYPERLINK("https://twitter.com/economedicos/status/1686339356066230273")</f>
        <v>https://twitter.com/economedicos/status/1686339356066230273</v>
      </c>
      <c r="AF700" s="79">
        <v>45139.481562499997</v>
      </c>
      <c r="AG700" s="85">
        <v>45139</v>
      </c>
      <c r="AH700" s="82" t="s">
        <v>3450</v>
      </c>
      <c r="AI700" s="77"/>
      <c r="AJ700" s="77"/>
      <c r="AK700" s="77"/>
      <c r="AL700" s="77"/>
      <c r="AM700" s="77"/>
      <c r="AN700" s="77"/>
      <c r="AO700" s="77"/>
      <c r="AP700" s="77"/>
      <c r="AQ700" s="77"/>
      <c r="AR700" s="77"/>
      <c r="AS700" s="77"/>
      <c r="AT700" s="77"/>
      <c r="AU700" s="77"/>
      <c r="AV700" s="80" t="str">
        <f>HYPERLINK("https://pbs.twimg.com/profile_images/1283576393662636034/EjgsMA_W_normal.jpg")</f>
        <v>https://pbs.twimg.com/profile_images/1283576393662636034/EjgsMA_W_normal.jpg</v>
      </c>
      <c r="AW700" s="82" t="s">
        <v>5033</v>
      </c>
      <c r="AX700" s="82" t="s">
        <v>5485</v>
      </c>
      <c r="AY700" s="82" t="s">
        <v>5605</v>
      </c>
      <c r="AZ700" s="82" t="s">
        <v>5765</v>
      </c>
      <c r="BA700" s="82" t="s">
        <v>5615</v>
      </c>
      <c r="BB700" s="82" t="s">
        <v>5615</v>
      </c>
      <c r="BC700" s="82" t="s">
        <v>5765</v>
      </c>
      <c r="BD700" s="82" t="s">
        <v>5605</v>
      </c>
      <c r="BE700" s="77"/>
      <c r="BF700" s="77"/>
      <c r="BG700" s="77"/>
      <c r="BH700" s="77"/>
      <c r="BI700" s="77"/>
    </row>
    <row r="701" spans="1:61" x14ac:dyDescent="0.25">
      <c r="A701" s="62" t="s">
        <v>475</v>
      </c>
      <c r="B701" s="62" t="s">
        <v>475</v>
      </c>
      <c r="C701" s="63"/>
      <c r="D701" s="64"/>
      <c r="E701" s="65"/>
      <c r="F701" s="66"/>
      <c r="G701" s="63"/>
      <c r="H701" s="67"/>
      <c r="I701" s="68"/>
      <c r="J701" s="68"/>
      <c r="K701" s="32"/>
      <c r="L701" s="75">
        <v>701</v>
      </c>
      <c r="M701" s="75"/>
      <c r="N701" s="70"/>
      <c r="O701" s="77" t="s">
        <v>583</v>
      </c>
      <c r="P701" s="79">
        <v>45124.5390162037</v>
      </c>
      <c r="Q701" s="77" t="s">
        <v>1251</v>
      </c>
      <c r="R701" s="77">
        <v>0</v>
      </c>
      <c r="S701" s="77">
        <v>0</v>
      </c>
      <c r="T701" s="77">
        <v>0</v>
      </c>
      <c r="U701" s="77">
        <v>0</v>
      </c>
      <c r="V701" s="77">
        <v>6</v>
      </c>
      <c r="W701" s="82" t="s">
        <v>1947</v>
      </c>
      <c r="X701" s="77"/>
      <c r="Y701" s="77"/>
      <c r="Z701" s="77"/>
      <c r="AA701" s="77"/>
      <c r="AB701" s="77"/>
      <c r="AC701" s="82" t="s">
        <v>2720</v>
      </c>
      <c r="AD701" s="77" t="s">
        <v>2752</v>
      </c>
      <c r="AE701" s="80" t="str">
        <f>HYPERLINK("https://twitter.com/economedicos/status/1680924355922886661")</f>
        <v>https://twitter.com/economedicos/status/1680924355922886661</v>
      </c>
      <c r="AF701" s="79">
        <v>45124.5390162037</v>
      </c>
      <c r="AG701" s="85">
        <v>45124</v>
      </c>
      <c r="AH701" s="82" t="s">
        <v>3451</v>
      </c>
      <c r="AI701" s="77"/>
      <c r="AJ701" s="77"/>
      <c r="AK701" s="77"/>
      <c r="AL701" s="77"/>
      <c r="AM701" s="77"/>
      <c r="AN701" s="77"/>
      <c r="AO701" s="77"/>
      <c r="AP701" s="77"/>
      <c r="AQ701" s="77"/>
      <c r="AR701" s="77"/>
      <c r="AS701" s="77"/>
      <c r="AT701" s="77"/>
      <c r="AU701" s="77"/>
      <c r="AV701" s="80" t="str">
        <f>HYPERLINK("https://pbs.twimg.com/profile_images/1283576393662636034/EjgsMA_W_normal.jpg")</f>
        <v>https://pbs.twimg.com/profile_images/1283576393662636034/EjgsMA_W_normal.jpg</v>
      </c>
      <c r="AW701" s="82" t="s">
        <v>5034</v>
      </c>
      <c r="AX701" s="82" t="s">
        <v>5486</v>
      </c>
      <c r="AY701" s="82" t="s">
        <v>5605</v>
      </c>
      <c r="AZ701" s="82" t="s">
        <v>5766</v>
      </c>
      <c r="BA701" s="82" t="s">
        <v>5615</v>
      </c>
      <c r="BB701" s="82" t="s">
        <v>5615</v>
      </c>
      <c r="BC701" s="82" t="s">
        <v>5766</v>
      </c>
      <c r="BD701" s="82" t="s">
        <v>5605</v>
      </c>
      <c r="BE701" s="77"/>
      <c r="BF701" s="77"/>
      <c r="BG701" s="77"/>
      <c r="BH701" s="77"/>
      <c r="BI701" s="77"/>
    </row>
    <row r="702" spans="1:61" x14ac:dyDescent="0.25">
      <c r="A702" s="62" t="s">
        <v>475</v>
      </c>
      <c r="B702" s="62" t="s">
        <v>475</v>
      </c>
      <c r="C702" s="63"/>
      <c r="D702" s="64"/>
      <c r="E702" s="65"/>
      <c r="F702" s="66"/>
      <c r="G702" s="63"/>
      <c r="H702" s="67"/>
      <c r="I702" s="68"/>
      <c r="J702" s="68"/>
      <c r="K702" s="32"/>
      <c r="L702" s="75">
        <v>702</v>
      </c>
      <c r="M702" s="75"/>
      <c r="N702" s="70"/>
      <c r="O702" s="77" t="s">
        <v>583</v>
      </c>
      <c r="P702" s="79">
        <v>45121.494259259256</v>
      </c>
      <c r="Q702" s="77" t="s">
        <v>1252</v>
      </c>
      <c r="R702" s="77">
        <v>0</v>
      </c>
      <c r="S702" s="77">
        <v>0</v>
      </c>
      <c r="T702" s="77">
        <v>0</v>
      </c>
      <c r="U702" s="77">
        <v>0</v>
      </c>
      <c r="V702" s="77">
        <v>7</v>
      </c>
      <c r="W702" s="82" t="s">
        <v>1947</v>
      </c>
      <c r="X702" s="77"/>
      <c r="Y702" s="77"/>
      <c r="Z702" s="77"/>
      <c r="AA702" s="77"/>
      <c r="AB702" s="77"/>
      <c r="AC702" s="82" t="s">
        <v>2720</v>
      </c>
      <c r="AD702" s="77" t="s">
        <v>2752</v>
      </c>
      <c r="AE702" s="80" t="str">
        <f>HYPERLINK("https://twitter.com/economedicos/status/1679820975246811136")</f>
        <v>https://twitter.com/economedicos/status/1679820975246811136</v>
      </c>
      <c r="AF702" s="79">
        <v>45121.494259259256</v>
      </c>
      <c r="AG702" s="85">
        <v>45121</v>
      </c>
      <c r="AH702" s="82" t="s">
        <v>3452</v>
      </c>
      <c r="AI702" s="77"/>
      <c r="AJ702" s="77"/>
      <c r="AK702" s="77"/>
      <c r="AL702" s="77"/>
      <c r="AM702" s="77"/>
      <c r="AN702" s="77"/>
      <c r="AO702" s="77"/>
      <c r="AP702" s="77"/>
      <c r="AQ702" s="77"/>
      <c r="AR702" s="77"/>
      <c r="AS702" s="77"/>
      <c r="AT702" s="77"/>
      <c r="AU702" s="77"/>
      <c r="AV702" s="80" t="str">
        <f>HYPERLINK("https://pbs.twimg.com/profile_images/1283576393662636034/EjgsMA_W_normal.jpg")</f>
        <v>https://pbs.twimg.com/profile_images/1283576393662636034/EjgsMA_W_normal.jpg</v>
      </c>
      <c r="AW702" s="82" t="s">
        <v>5035</v>
      </c>
      <c r="AX702" s="82" t="s">
        <v>5487</v>
      </c>
      <c r="AY702" s="82" t="s">
        <v>5605</v>
      </c>
      <c r="AZ702" s="82" t="s">
        <v>5767</v>
      </c>
      <c r="BA702" s="82" t="s">
        <v>5615</v>
      </c>
      <c r="BB702" s="82" t="s">
        <v>5615</v>
      </c>
      <c r="BC702" s="82" t="s">
        <v>5767</v>
      </c>
      <c r="BD702" s="82" t="s">
        <v>5605</v>
      </c>
      <c r="BE702" s="77"/>
      <c r="BF702" s="77"/>
      <c r="BG702" s="77"/>
      <c r="BH702" s="77"/>
      <c r="BI702" s="77"/>
    </row>
    <row r="703" spans="1:61" x14ac:dyDescent="0.25">
      <c r="A703" s="62" t="s">
        <v>475</v>
      </c>
      <c r="B703" s="62" t="s">
        <v>475</v>
      </c>
      <c r="C703" s="63"/>
      <c r="D703" s="64"/>
      <c r="E703" s="65"/>
      <c r="F703" s="66"/>
      <c r="G703" s="63"/>
      <c r="H703" s="67"/>
      <c r="I703" s="68"/>
      <c r="J703" s="68"/>
      <c r="K703" s="32"/>
      <c r="L703" s="75">
        <v>703</v>
      </c>
      <c r="M703" s="75"/>
      <c r="N703" s="70"/>
      <c r="O703" s="77" t="s">
        <v>583</v>
      </c>
      <c r="P703" s="79">
        <v>45120.475092592591</v>
      </c>
      <c r="Q703" s="77" t="s">
        <v>1253</v>
      </c>
      <c r="R703" s="77">
        <v>0</v>
      </c>
      <c r="S703" s="77">
        <v>0</v>
      </c>
      <c r="T703" s="77">
        <v>0</v>
      </c>
      <c r="U703" s="77">
        <v>0</v>
      </c>
      <c r="V703" s="77">
        <v>5</v>
      </c>
      <c r="W703" s="82" t="s">
        <v>1947</v>
      </c>
      <c r="X703" s="77"/>
      <c r="Y703" s="77"/>
      <c r="Z703" s="77"/>
      <c r="AA703" s="77"/>
      <c r="AB703" s="77"/>
      <c r="AC703" s="82" t="s">
        <v>2720</v>
      </c>
      <c r="AD703" s="77" t="s">
        <v>2752</v>
      </c>
      <c r="AE703" s="80" t="str">
        <f>HYPERLINK("https://twitter.com/economedicos/status/1679451641110511618")</f>
        <v>https://twitter.com/economedicos/status/1679451641110511618</v>
      </c>
      <c r="AF703" s="79">
        <v>45120.475092592591</v>
      </c>
      <c r="AG703" s="85">
        <v>45120</v>
      </c>
      <c r="AH703" s="82" t="s">
        <v>3453</v>
      </c>
      <c r="AI703" s="77"/>
      <c r="AJ703" s="77"/>
      <c r="AK703" s="77"/>
      <c r="AL703" s="77"/>
      <c r="AM703" s="77"/>
      <c r="AN703" s="77"/>
      <c r="AO703" s="77"/>
      <c r="AP703" s="77"/>
      <c r="AQ703" s="77"/>
      <c r="AR703" s="77"/>
      <c r="AS703" s="77"/>
      <c r="AT703" s="77"/>
      <c r="AU703" s="77"/>
      <c r="AV703" s="80" t="str">
        <f>HYPERLINK("https://pbs.twimg.com/profile_images/1283576393662636034/EjgsMA_W_normal.jpg")</f>
        <v>https://pbs.twimg.com/profile_images/1283576393662636034/EjgsMA_W_normal.jpg</v>
      </c>
      <c r="AW703" s="82" t="s">
        <v>5036</v>
      </c>
      <c r="AX703" s="82" t="s">
        <v>5488</v>
      </c>
      <c r="AY703" s="82" t="s">
        <v>5605</v>
      </c>
      <c r="AZ703" s="82" t="s">
        <v>5768</v>
      </c>
      <c r="BA703" s="82" t="s">
        <v>5615</v>
      </c>
      <c r="BB703" s="82" t="s">
        <v>5615</v>
      </c>
      <c r="BC703" s="82" t="s">
        <v>5768</v>
      </c>
      <c r="BD703" s="82" t="s">
        <v>5605</v>
      </c>
      <c r="BE703" s="77"/>
      <c r="BF703" s="77"/>
      <c r="BG703" s="77"/>
      <c r="BH703" s="77"/>
      <c r="BI703" s="77"/>
    </row>
    <row r="704" spans="1:61" x14ac:dyDescent="0.25">
      <c r="A704" s="62" t="s">
        <v>475</v>
      </c>
      <c r="B704" s="62" t="s">
        <v>475</v>
      </c>
      <c r="C704" s="63"/>
      <c r="D704" s="64"/>
      <c r="E704" s="65"/>
      <c r="F704" s="66"/>
      <c r="G704" s="63"/>
      <c r="H704" s="67"/>
      <c r="I704" s="68"/>
      <c r="J704" s="68"/>
      <c r="K704" s="32"/>
      <c r="L704" s="75">
        <v>704</v>
      </c>
      <c r="M704" s="75"/>
      <c r="N704" s="70"/>
      <c r="O704" s="77" t="s">
        <v>583</v>
      </c>
      <c r="P704" s="79">
        <v>45119.423217592594</v>
      </c>
      <c r="Q704" s="77" t="s">
        <v>1254</v>
      </c>
      <c r="R704" s="77">
        <v>0</v>
      </c>
      <c r="S704" s="77">
        <v>1</v>
      </c>
      <c r="T704" s="77">
        <v>0</v>
      </c>
      <c r="U704" s="77">
        <v>0</v>
      </c>
      <c r="V704" s="77">
        <v>12</v>
      </c>
      <c r="W704" s="82" t="s">
        <v>1947</v>
      </c>
      <c r="X704" s="77"/>
      <c r="Y704" s="77"/>
      <c r="Z704" s="77"/>
      <c r="AA704" s="77"/>
      <c r="AB704" s="77"/>
      <c r="AC704" s="82" t="s">
        <v>2720</v>
      </c>
      <c r="AD704" s="77" t="s">
        <v>2752</v>
      </c>
      <c r="AE704" s="80" t="str">
        <f>HYPERLINK("https://twitter.com/economedicos/status/1679070454605131776")</f>
        <v>https://twitter.com/economedicos/status/1679070454605131776</v>
      </c>
      <c r="AF704" s="79">
        <v>45119.423217592594</v>
      </c>
      <c r="AG704" s="85">
        <v>45119</v>
      </c>
      <c r="AH704" s="82" t="s">
        <v>3454</v>
      </c>
      <c r="AI704" s="77"/>
      <c r="AJ704" s="77"/>
      <c r="AK704" s="77"/>
      <c r="AL704" s="77"/>
      <c r="AM704" s="77"/>
      <c r="AN704" s="77"/>
      <c r="AO704" s="77"/>
      <c r="AP704" s="77"/>
      <c r="AQ704" s="77"/>
      <c r="AR704" s="77"/>
      <c r="AS704" s="77"/>
      <c r="AT704" s="77"/>
      <c r="AU704" s="77"/>
      <c r="AV704" s="80" t="str">
        <f>HYPERLINK("https://pbs.twimg.com/profile_images/1283576393662636034/EjgsMA_W_normal.jpg")</f>
        <v>https://pbs.twimg.com/profile_images/1283576393662636034/EjgsMA_W_normal.jpg</v>
      </c>
      <c r="AW704" s="82" t="s">
        <v>5037</v>
      </c>
      <c r="AX704" s="82" t="s">
        <v>5489</v>
      </c>
      <c r="AY704" s="82" t="s">
        <v>5605</v>
      </c>
      <c r="AZ704" s="82" t="s">
        <v>5769</v>
      </c>
      <c r="BA704" s="82" t="s">
        <v>5615</v>
      </c>
      <c r="BB704" s="82" t="s">
        <v>5615</v>
      </c>
      <c r="BC704" s="82" t="s">
        <v>5769</v>
      </c>
      <c r="BD704" s="82" t="s">
        <v>5605</v>
      </c>
      <c r="BE704" s="77"/>
      <c r="BF704" s="77"/>
      <c r="BG704" s="77"/>
      <c r="BH704" s="77"/>
      <c r="BI704" s="77"/>
    </row>
    <row r="705" spans="1:61" x14ac:dyDescent="0.25">
      <c r="A705" s="62" t="s">
        <v>475</v>
      </c>
      <c r="B705" s="62" t="s">
        <v>475</v>
      </c>
      <c r="C705" s="63"/>
      <c r="D705" s="64"/>
      <c r="E705" s="65"/>
      <c r="F705" s="66"/>
      <c r="G705" s="63"/>
      <c r="H705" s="67"/>
      <c r="I705" s="68"/>
      <c r="J705" s="68"/>
      <c r="K705" s="32"/>
      <c r="L705" s="75">
        <v>705</v>
      </c>
      <c r="M705" s="75"/>
      <c r="N705" s="70"/>
      <c r="O705" s="77" t="s">
        <v>583</v>
      </c>
      <c r="P705" s="79">
        <v>45112.429710648146</v>
      </c>
      <c r="Q705" s="77" t="s">
        <v>1255</v>
      </c>
      <c r="R705" s="77">
        <v>0</v>
      </c>
      <c r="S705" s="77">
        <v>0</v>
      </c>
      <c r="T705" s="77">
        <v>1</v>
      </c>
      <c r="U705" s="77">
        <v>0</v>
      </c>
      <c r="V705" s="77">
        <v>13</v>
      </c>
      <c r="W705" s="82" t="s">
        <v>1947</v>
      </c>
      <c r="X705" s="77"/>
      <c r="Y705" s="77"/>
      <c r="Z705" s="77"/>
      <c r="AA705" s="77"/>
      <c r="AB705" s="77"/>
      <c r="AC705" s="82" t="s">
        <v>2720</v>
      </c>
      <c r="AD705" s="77" t="s">
        <v>2752</v>
      </c>
      <c r="AE705" s="80" t="str">
        <f>HYPERLINK("https://twitter.com/economedicos/status/1676536091266908161")</f>
        <v>https://twitter.com/economedicos/status/1676536091266908161</v>
      </c>
      <c r="AF705" s="79">
        <v>45112.429710648146</v>
      </c>
      <c r="AG705" s="85">
        <v>45112</v>
      </c>
      <c r="AH705" s="82" t="s">
        <v>3455</v>
      </c>
      <c r="AI705" s="77"/>
      <c r="AJ705" s="77"/>
      <c r="AK705" s="77"/>
      <c r="AL705" s="77"/>
      <c r="AM705" s="77"/>
      <c r="AN705" s="77"/>
      <c r="AO705" s="77"/>
      <c r="AP705" s="77"/>
      <c r="AQ705" s="77"/>
      <c r="AR705" s="77"/>
      <c r="AS705" s="77"/>
      <c r="AT705" s="77"/>
      <c r="AU705" s="77"/>
      <c r="AV705" s="80" t="str">
        <f>HYPERLINK("https://pbs.twimg.com/profile_images/1283576393662636034/EjgsMA_W_normal.jpg")</f>
        <v>https://pbs.twimg.com/profile_images/1283576393662636034/EjgsMA_W_normal.jpg</v>
      </c>
      <c r="AW705" s="82" t="s">
        <v>5038</v>
      </c>
      <c r="AX705" s="82" t="s">
        <v>5490</v>
      </c>
      <c r="AY705" s="82" t="s">
        <v>5605</v>
      </c>
      <c r="AZ705" s="82" t="s">
        <v>5770</v>
      </c>
      <c r="BA705" s="82" t="s">
        <v>5615</v>
      </c>
      <c r="BB705" s="82" t="s">
        <v>5615</v>
      </c>
      <c r="BC705" s="82" t="s">
        <v>5770</v>
      </c>
      <c r="BD705" s="82" t="s">
        <v>5605</v>
      </c>
      <c r="BE705" s="77"/>
      <c r="BF705" s="77"/>
      <c r="BG705" s="77"/>
      <c r="BH705" s="77"/>
      <c r="BI705" s="77"/>
    </row>
    <row r="706" spans="1:61" x14ac:dyDescent="0.25">
      <c r="A706" s="62" t="s">
        <v>475</v>
      </c>
      <c r="B706" s="62" t="s">
        <v>475</v>
      </c>
      <c r="C706" s="63"/>
      <c r="D706" s="64"/>
      <c r="E706" s="65"/>
      <c r="F706" s="66"/>
      <c r="G706" s="63"/>
      <c r="H706" s="67"/>
      <c r="I706" s="68"/>
      <c r="J706" s="68"/>
      <c r="K706" s="32"/>
      <c r="L706" s="75">
        <v>706</v>
      </c>
      <c r="M706" s="75"/>
      <c r="N706" s="70"/>
      <c r="O706" s="77" t="s">
        <v>583</v>
      </c>
      <c r="P706" s="79">
        <v>45111.45113425926</v>
      </c>
      <c r="Q706" s="77" t="s">
        <v>1256</v>
      </c>
      <c r="R706" s="77">
        <v>0</v>
      </c>
      <c r="S706" s="77">
        <v>0</v>
      </c>
      <c r="T706" s="77">
        <v>0</v>
      </c>
      <c r="U706" s="77">
        <v>0</v>
      </c>
      <c r="V706" s="77">
        <v>6</v>
      </c>
      <c r="W706" s="82" t="s">
        <v>1947</v>
      </c>
      <c r="X706" s="77"/>
      <c r="Y706" s="77"/>
      <c r="Z706" s="77"/>
      <c r="AA706" s="77"/>
      <c r="AB706" s="77"/>
      <c r="AC706" s="82" t="s">
        <v>2720</v>
      </c>
      <c r="AD706" s="77" t="s">
        <v>2752</v>
      </c>
      <c r="AE706" s="80" t="str">
        <f>HYPERLINK("https://twitter.com/economedicos/status/1676181466982539265")</f>
        <v>https://twitter.com/economedicos/status/1676181466982539265</v>
      </c>
      <c r="AF706" s="79">
        <v>45111.45113425926</v>
      </c>
      <c r="AG706" s="85">
        <v>45111</v>
      </c>
      <c r="AH706" s="82" t="s">
        <v>3456</v>
      </c>
      <c r="AI706" s="77"/>
      <c r="AJ706" s="77"/>
      <c r="AK706" s="77"/>
      <c r="AL706" s="77"/>
      <c r="AM706" s="77"/>
      <c r="AN706" s="77"/>
      <c r="AO706" s="77"/>
      <c r="AP706" s="77"/>
      <c r="AQ706" s="77"/>
      <c r="AR706" s="77"/>
      <c r="AS706" s="77"/>
      <c r="AT706" s="77"/>
      <c r="AU706" s="77"/>
      <c r="AV706" s="80" t="str">
        <f>HYPERLINK("https://pbs.twimg.com/profile_images/1283576393662636034/EjgsMA_W_normal.jpg")</f>
        <v>https://pbs.twimg.com/profile_images/1283576393662636034/EjgsMA_W_normal.jpg</v>
      </c>
      <c r="AW706" s="82" t="s">
        <v>5039</v>
      </c>
      <c r="AX706" s="82" t="s">
        <v>5491</v>
      </c>
      <c r="AY706" s="82" t="s">
        <v>5605</v>
      </c>
      <c r="AZ706" s="82" t="s">
        <v>5771</v>
      </c>
      <c r="BA706" s="82" t="s">
        <v>5615</v>
      </c>
      <c r="BB706" s="82" t="s">
        <v>5615</v>
      </c>
      <c r="BC706" s="82" t="s">
        <v>5771</v>
      </c>
      <c r="BD706" s="82" t="s">
        <v>5605</v>
      </c>
      <c r="BE706" s="77"/>
      <c r="BF706" s="77"/>
      <c r="BG706" s="77"/>
      <c r="BH706" s="77"/>
      <c r="BI706" s="77"/>
    </row>
    <row r="707" spans="1:61" x14ac:dyDescent="0.25">
      <c r="A707" s="62" t="s">
        <v>475</v>
      </c>
      <c r="B707" s="62" t="s">
        <v>475</v>
      </c>
      <c r="C707" s="63"/>
      <c r="D707" s="64"/>
      <c r="E707" s="65"/>
      <c r="F707" s="66"/>
      <c r="G707" s="63"/>
      <c r="H707" s="67"/>
      <c r="I707" s="68"/>
      <c r="J707" s="68"/>
      <c r="K707" s="32"/>
      <c r="L707" s="75">
        <v>707</v>
      </c>
      <c r="M707" s="75"/>
      <c r="N707" s="70"/>
      <c r="O707" s="77" t="s">
        <v>583</v>
      </c>
      <c r="P707" s="79">
        <v>45110.446342592593</v>
      </c>
      <c r="Q707" s="77" t="s">
        <v>1257</v>
      </c>
      <c r="R707" s="77">
        <v>0</v>
      </c>
      <c r="S707" s="77">
        <v>0</v>
      </c>
      <c r="T707" s="77">
        <v>0</v>
      </c>
      <c r="U707" s="77">
        <v>0</v>
      </c>
      <c r="V707" s="77">
        <v>8</v>
      </c>
      <c r="W707" s="82" t="s">
        <v>1947</v>
      </c>
      <c r="X707" s="77"/>
      <c r="Y707" s="77"/>
      <c r="Z707" s="77"/>
      <c r="AA707" s="77"/>
      <c r="AB707" s="77"/>
      <c r="AC707" s="82" t="s">
        <v>2720</v>
      </c>
      <c r="AD707" s="77" t="s">
        <v>2752</v>
      </c>
      <c r="AE707" s="80" t="str">
        <f>HYPERLINK("https://twitter.com/economedicos/status/1675817344092733441")</f>
        <v>https://twitter.com/economedicos/status/1675817344092733441</v>
      </c>
      <c r="AF707" s="79">
        <v>45110.446342592593</v>
      </c>
      <c r="AG707" s="85">
        <v>45110</v>
      </c>
      <c r="AH707" s="82" t="s">
        <v>3457</v>
      </c>
      <c r="AI707" s="77"/>
      <c r="AJ707" s="77"/>
      <c r="AK707" s="77"/>
      <c r="AL707" s="77"/>
      <c r="AM707" s="77"/>
      <c r="AN707" s="77"/>
      <c r="AO707" s="77"/>
      <c r="AP707" s="77"/>
      <c r="AQ707" s="77"/>
      <c r="AR707" s="77"/>
      <c r="AS707" s="77"/>
      <c r="AT707" s="77"/>
      <c r="AU707" s="77"/>
      <c r="AV707" s="80" t="str">
        <f>HYPERLINK("https://pbs.twimg.com/profile_images/1283576393662636034/EjgsMA_W_normal.jpg")</f>
        <v>https://pbs.twimg.com/profile_images/1283576393662636034/EjgsMA_W_normal.jpg</v>
      </c>
      <c r="AW707" s="82" t="s">
        <v>5040</v>
      </c>
      <c r="AX707" s="82" t="s">
        <v>5492</v>
      </c>
      <c r="AY707" s="82" t="s">
        <v>5605</v>
      </c>
      <c r="AZ707" s="82" t="s">
        <v>5772</v>
      </c>
      <c r="BA707" s="82" t="s">
        <v>5615</v>
      </c>
      <c r="BB707" s="82" t="s">
        <v>5615</v>
      </c>
      <c r="BC707" s="82" t="s">
        <v>5772</v>
      </c>
      <c r="BD707" s="82" t="s">
        <v>5605</v>
      </c>
      <c r="BE707" s="77"/>
      <c r="BF707" s="77"/>
      <c r="BG707" s="77"/>
      <c r="BH707" s="77"/>
      <c r="BI707" s="77"/>
    </row>
    <row r="708" spans="1:61" x14ac:dyDescent="0.25">
      <c r="A708" s="62" t="s">
        <v>475</v>
      </c>
      <c r="B708" s="62" t="s">
        <v>475</v>
      </c>
      <c r="C708" s="63"/>
      <c r="D708" s="64"/>
      <c r="E708" s="65"/>
      <c r="F708" s="66"/>
      <c r="G708" s="63"/>
      <c r="H708" s="67"/>
      <c r="I708" s="68"/>
      <c r="J708" s="68"/>
      <c r="K708" s="32"/>
      <c r="L708" s="75">
        <v>708</v>
      </c>
      <c r="M708" s="75"/>
      <c r="N708" s="70"/>
      <c r="O708" s="77" t="s">
        <v>583</v>
      </c>
      <c r="P708" s="79">
        <v>45104.364374999997</v>
      </c>
      <c r="Q708" s="77" t="s">
        <v>1258</v>
      </c>
      <c r="R708" s="77">
        <v>0</v>
      </c>
      <c r="S708" s="77">
        <v>0</v>
      </c>
      <c r="T708" s="77">
        <v>0</v>
      </c>
      <c r="U708" s="77">
        <v>0</v>
      </c>
      <c r="V708" s="77">
        <v>10</v>
      </c>
      <c r="W708" s="82" t="s">
        <v>1947</v>
      </c>
      <c r="X708" s="77"/>
      <c r="Y708" s="77"/>
      <c r="Z708" s="77"/>
      <c r="AA708" s="77"/>
      <c r="AB708" s="77"/>
      <c r="AC708" s="82" t="s">
        <v>2720</v>
      </c>
      <c r="AD708" s="77" t="s">
        <v>2752</v>
      </c>
      <c r="AE708" s="80" t="str">
        <f>HYPERLINK("https://twitter.com/economedicos/status/1673613313438109696")</f>
        <v>https://twitter.com/economedicos/status/1673613313438109696</v>
      </c>
      <c r="AF708" s="79">
        <v>45104.364374999997</v>
      </c>
      <c r="AG708" s="85">
        <v>45104</v>
      </c>
      <c r="AH708" s="82" t="s">
        <v>3458</v>
      </c>
      <c r="AI708" s="77"/>
      <c r="AJ708" s="77"/>
      <c r="AK708" s="77"/>
      <c r="AL708" s="77"/>
      <c r="AM708" s="77"/>
      <c r="AN708" s="77"/>
      <c r="AO708" s="77"/>
      <c r="AP708" s="77"/>
      <c r="AQ708" s="77"/>
      <c r="AR708" s="77"/>
      <c r="AS708" s="77"/>
      <c r="AT708" s="77"/>
      <c r="AU708" s="77"/>
      <c r="AV708" s="80" t="str">
        <f>HYPERLINK("https://pbs.twimg.com/profile_images/1283576393662636034/EjgsMA_W_normal.jpg")</f>
        <v>https://pbs.twimg.com/profile_images/1283576393662636034/EjgsMA_W_normal.jpg</v>
      </c>
      <c r="AW708" s="82" t="s">
        <v>5041</v>
      </c>
      <c r="AX708" s="82" t="s">
        <v>5493</v>
      </c>
      <c r="AY708" s="82" t="s">
        <v>5605</v>
      </c>
      <c r="AZ708" s="82" t="s">
        <v>5773</v>
      </c>
      <c r="BA708" s="82" t="s">
        <v>5615</v>
      </c>
      <c r="BB708" s="82" t="s">
        <v>5615</v>
      </c>
      <c r="BC708" s="82" t="s">
        <v>5773</v>
      </c>
      <c r="BD708" s="82" t="s">
        <v>5605</v>
      </c>
      <c r="BE708" s="77"/>
      <c r="BF708" s="77"/>
      <c r="BG708" s="77"/>
      <c r="BH708" s="77"/>
      <c r="BI708" s="77"/>
    </row>
    <row r="709" spans="1:61" x14ac:dyDescent="0.25">
      <c r="A709" s="62" t="s">
        <v>475</v>
      </c>
      <c r="B709" s="62" t="s">
        <v>475</v>
      </c>
      <c r="C709" s="63"/>
      <c r="D709" s="64"/>
      <c r="E709" s="65"/>
      <c r="F709" s="66"/>
      <c r="G709" s="63"/>
      <c r="H709" s="67"/>
      <c r="I709" s="68"/>
      <c r="J709" s="68"/>
      <c r="K709" s="32"/>
      <c r="L709" s="75">
        <v>709</v>
      </c>
      <c r="M709" s="75"/>
      <c r="N709" s="70"/>
      <c r="O709" s="77" t="s">
        <v>583</v>
      </c>
      <c r="P709" s="79">
        <v>45103.395983796298</v>
      </c>
      <c r="Q709" s="77" t="s">
        <v>1259</v>
      </c>
      <c r="R709" s="77">
        <v>0</v>
      </c>
      <c r="S709" s="77">
        <v>0</v>
      </c>
      <c r="T709" s="77">
        <v>0</v>
      </c>
      <c r="U709" s="77">
        <v>0</v>
      </c>
      <c r="V709" s="77">
        <v>17</v>
      </c>
      <c r="W709" s="82" t="s">
        <v>1947</v>
      </c>
      <c r="X709" s="77"/>
      <c r="Y709" s="77"/>
      <c r="Z709" s="77"/>
      <c r="AA709" s="77"/>
      <c r="AB709" s="77"/>
      <c r="AC709" s="82" t="s">
        <v>2720</v>
      </c>
      <c r="AD709" s="77" t="s">
        <v>2752</v>
      </c>
      <c r="AE709" s="80" t="str">
        <f>HYPERLINK("https://twitter.com/economedicos/status/1673262377498812417")</f>
        <v>https://twitter.com/economedicos/status/1673262377498812417</v>
      </c>
      <c r="AF709" s="79">
        <v>45103.395983796298</v>
      </c>
      <c r="AG709" s="85">
        <v>45103</v>
      </c>
      <c r="AH709" s="82" t="s">
        <v>3459</v>
      </c>
      <c r="AI709" s="77"/>
      <c r="AJ709" s="77"/>
      <c r="AK709" s="77"/>
      <c r="AL709" s="77"/>
      <c r="AM709" s="77"/>
      <c r="AN709" s="77"/>
      <c r="AO709" s="77"/>
      <c r="AP709" s="77"/>
      <c r="AQ709" s="77"/>
      <c r="AR709" s="77"/>
      <c r="AS709" s="77"/>
      <c r="AT709" s="77"/>
      <c r="AU709" s="77"/>
      <c r="AV709" s="80" t="str">
        <f>HYPERLINK("https://pbs.twimg.com/profile_images/1283576393662636034/EjgsMA_W_normal.jpg")</f>
        <v>https://pbs.twimg.com/profile_images/1283576393662636034/EjgsMA_W_normal.jpg</v>
      </c>
      <c r="AW709" s="82" t="s">
        <v>5042</v>
      </c>
      <c r="AX709" s="82" t="s">
        <v>5494</v>
      </c>
      <c r="AY709" s="82" t="s">
        <v>5605</v>
      </c>
      <c r="AZ709" s="82" t="s">
        <v>5774</v>
      </c>
      <c r="BA709" s="82" t="s">
        <v>5615</v>
      </c>
      <c r="BB709" s="82" t="s">
        <v>5615</v>
      </c>
      <c r="BC709" s="82" t="s">
        <v>5774</v>
      </c>
      <c r="BD709" s="82" t="s">
        <v>5605</v>
      </c>
      <c r="BE709" s="77"/>
      <c r="BF709" s="77"/>
      <c r="BG709" s="77"/>
      <c r="BH709" s="77"/>
      <c r="BI709" s="77"/>
    </row>
    <row r="710" spans="1:61" x14ac:dyDescent="0.25">
      <c r="A710" s="62" t="s">
        <v>475</v>
      </c>
      <c r="B710" s="62" t="s">
        <v>475</v>
      </c>
      <c r="C710" s="63"/>
      <c r="D710" s="64"/>
      <c r="E710" s="65"/>
      <c r="F710" s="66"/>
      <c r="G710" s="63"/>
      <c r="H710" s="67"/>
      <c r="I710" s="68"/>
      <c r="J710" s="68"/>
      <c r="K710" s="32"/>
      <c r="L710" s="75">
        <v>710</v>
      </c>
      <c r="M710" s="75"/>
      <c r="N710" s="70"/>
      <c r="O710" s="77" t="s">
        <v>583</v>
      </c>
      <c r="P710" s="79">
        <v>45077.45045138889</v>
      </c>
      <c r="Q710" s="77" t="s">
        <v>1260</v>
      </c>
      <c r="R710" s="77">
        <v>0</v>
      </c>
      <c r="S710" s="77">
        <v>0</v>
      </c>
      <c r="T710" s="77">
        <v>0</v>
      </c>
      <c r="U710" s="77">
        <v>0</v>
      </c>
      <c r="V710" s="77">
        <v>16</v>
      </c>
      <c r="W710" s="82" t="s">
        <v>1947</v>
      </c>
      <c r="X710" s="77"/>
      <c r="Y710" s="77"/>
      <c r="Z710" s="77"/>
      <c r="AA710" s="77"/>
      <c r="AB710" s="77"/>
      <c r="AC710" s="82" t="s">
        <v>2720</v>
      </c>
      <c r="AD710" s="77" t="s">
        <v>2752</v>
      </c>
      <c r="AE710" s="80" t="str">
        <f>HYPERLINK("https://twitter.com/economedicos/status/1663860032574726147")</f>
        <v>https://twitter.com/economedicos/status/1663860032574726147</v>
      </c>
      <c r="AF710" s="79">
        <v>45077.45045138889</v>
      </c>
      <c r="AG710" s="85">
        <v>45077</v>
      </c>
      <c r="AH710" s="82" t="s">
        <v>3460</v>
      </c>
      <c r="AI710" s="77"/>
      <c r="AJ710" s="77"/>
      <c r="AK710" s="77"/>
      <c r="AL710" s="77"/>
      <c r="AM710" s="77"/>
      <c r="AN710" s="77"/>
      <c r="AO710" s="77"/>
      <c r="AP710" s="77"/>
      <c r="AQ710" s="77"/>
      <c r="AR710" s="77"/>
      <c r="AS710" s="77"/>
      <c r="AT710" s="77"/>
      <c r="AU710" s="77"/>
      <c r="AV710" s="80" t="str">
        <f>HYPERLINK("https://pbs.twimg.com/profile_images/1283576393662636034/EjgsMA_W_normal.jpg")</f>
        <v>https://pbs.twimg.com/profile_images/1283576393662636034/EjgsMA_W_normal.jpg</v>
      </c>
      <c r="AW710" s="82" t="s">
        <v>5043</v>
      </c>
      <c r="AX710" s="82" t="s">
        <v>5495</v>
      </c>
      <c r="AY710" s="82" t="s">
        <v>5605</v>
      </c>
      <c r="AZ710" s="82" t="s">
        <v>5775</v>
      </c>
      <c r="BA710" s="82" t="s">
        <v>5615</v>
      </c>
      <c r="BB710" s="82" t="s">
        <v>5615</v>
      </c>
      <c r="BC710" s="82" t="s">
        <v>5775</v>
      </c>
      <c r="BD710" s="82" t="s">
        <v>5605</v>
      </c>
      <c r="BE710" s="77"/>
      <c r="BF710" s="77"/>
      <c r="BG710" s="77"/>
      <c r="BH710" s="77"/>
      <c r="BI710" s="77"/>
    </row>
    <row r="711" spans="1:61" x14ac:dyDescent="0.25">
      <c r="A711" s="62" t="s">
        <v>475</v>
      </c>
      <c r="B711" s="62" t="s">
        <v>475</v>
      </c>
      <c r="C711" s="63"/>
      <c r="D711" s="64"/>
      <c r="E711" s="65"/>
      <c r="F711" s="66"/>
      <c r="G711" s="63"/>
      <c r="H711" s="67"/>
      <c r="I711" s="68"/>
      <c r="J711" s="68"/>
      <c r="K711" s="32"/>
      <c r="L711" s="75">
        <v>711</v>
      </c>
      <c r="M711" s="75"/>
      <c r="N711" s="70"/>
      <c r="O711" s="77" t="s">
        <v>583</v>
      </c>
      <c r="P711" s="79">
        <v>45076.445636574077</v>
      </c>
      <c r="Q711" s="77" t="s">
        <v>1261</v>
      </c>
      <c r="R711" s="77">
        <v>0</v>
      </c>
      <c r="S711" s="77">
        <v>0</v>
      </c>
      <c r="T711" s="77">
        <v>0</v>
      </c>
      <c r="U711" s="77">
        <v>0</v>
      </c>
      <c r="V711" s="77">
        <v>3</v>
      </c>
      <c r="W711" s="82" t="s">
        <v>1947</v>
      </c>
      <c r="X711" s="77"/>
      <c r="Y711" s="77"/>
      <c r="Z711" s="77"/>
      <c r="AA711" s="77"/>
      <c r="AB711" s="77"/>
      <c r="AC711" s="82" t="s">
        <v>2720</v>
      </c>
      <c r="AD711" s="77" t="s">
        <v>2752</v>
      </c>
      <c r="AE711" s="80" t="str">
        <f>HYPERLINK("https://twitter.com/economedicos/status/1663495902076497923")</f>
        <v>https://twitter.com/economedicos/status/1663495902076497923</v>
      </c>
      <c r="AF711" s="79">
        <v>45076.445636574077</v>
      </c>
      <c r="AG711" s="85">
        <v>45076</v>
      </c>
      <c r="AH711" s="82" t="s">
        <v>3461</v>
      </c>
      <c r="AI711" s="77"/>
      <c r="AJ711" s="77"/>
      <c r="AK711" s="77"/>
      <c r="AL711" s="77"/>
      <c r="AM711" s="77"/>
      <c r="AN711" s="77"/>
      <c r="AO711" s="77"/>
      <c r="AP711" s="77"/>
      <c r="AQ711" s="77"/>
      <c r="AR711" s="77"/>
      <c r="AS711" s="77"/>
      <c r="AT711" s="77"/>
      <c r="AU711" s="77"/>
      <c r="AV711" s="80" t="str">
        <f>HYPERLINK("https://pbs.twimg.com/profile_images/1283576393662636034/EjgsMA_W_normal.jpg")</f>
        <v>https://pbs.twimg.com/profile_images/1283576393662636034/EjgsMA_W_normal.jpg</v>
      </c>
      <c r="AW711" s="82" t="s">
        <v>5044</v>
      </c>
      <c r="AX711" s="82" t="s">
        <v>5496</v>
      </c>
      <c r="AY711" s="82" t="s">
        <v>5605</v>
      </c>
      <c r="AZ711" s="82" t="s">
        <v>5776</v>
      </c>
      <c r="BA711" s="82" t="s">
        <v>5615</v>
      </c>
      <c r="BB711" s="82" t="s">
        <v>5615</v>
      </c>
      <c r="BC711" s="82" t="s">
        <v>5776</v>
      </c>
      <c r="BD711" s="82" t="s">
        <v>5605</v>
      </c>
      <c r="BE711" s="77"/>
      <c r="BF711" s="77"/>
      <c r="BG711" s="77"/>
      <c r="BH711" s="77"/>
      <c r="BI711" s="77"/>
    </row>
    <row r="712" spans="1:61" x14ac:dyDescent="0.25">
      <c r="A712" s="62" t="s">
        <v>475</v>
      </c>
      <c r="B712" s="62" t="s">
        <v>475</v>
      </c>
      <c r="C712" s="63"/>
      <c r="D712" s="64"/>
      <c r="E712" s="65"/>
      <c r="F712" s="66"/>
      <c r="G712" s="63"/>
      <c r="H712" s="67"/>
      <c r="I712" s="68"/>
      <c r="J712" s="68"/>
      <c r="K712" s="32"/>
      <c r="L712" s="75">
        <v>712</v>
      </c>
      <c r="M712" s="75"/>
      <c r="N712" s="70"/>
      <c r="O712" s="77" t="s">
        <v>583</v>
      </c>
      <c r="P712" s="79">
        <v>45075.437337962961</v>
      </c>
      <c r="Q712" s="77" t="s">
        <v>1262</v>
      </c>
      <c r="R712" s="77">
        <v>0</v>
      </c>
      <c r="S712" s="77">
        <v>0</v>
      </c>
      <c r="T712" s="77">
        <v>0</v>
      </c>
      <c r="U712" s="77">
        <v>0</v>
      </c>
      <c r="V712" s="77">
        <v>12</v>
      </c>
      <c r="W712" s="82" t="s">
        <v>1950</v>
      </c>
      <c r="X712" s="77"/>
      <c r="Y712" s="77"/>
      <c r="Z712" s="77"/>
      <c r="AA712" s="77"/>
      <c r="AB712" s="77"/>
      <c r="AC712" s="82" t="s">
        <v>2720</v>
      </c>
      <c r="AD712" s="77" t="s">
        <v>2752</v>
      </c>
      <c r="AE712" s="80" t="str">
        <f>HYPERLINK("https://twitter.com/economedicos/status/1663130505150119936")</f>
        <v>https://twitter.com/economedicos/status/1663130505150119936</v>
      </c>
      <c r="AF712" s="79">
        <v>45075.437337962961</v>
      </c>
      <c r="AG712" s="85">
        <v>45075</v>
      </c>
      <c r="AH712" s="82" t="s">
        <v>3462</v>
      </c>
      <c r="AI712" s="77"/>
      <c r="AJ712" s="77"/>
      <c r="AK712" s="77"/>
      <c r="AL712" s="77"/>
      <c r="AM712" s="77"/>
      <c r="AN712" s="77"/>
      <c r="AO712" s="77"/>
      <c r="AP712" s="77"/>
      <c r="AQ712" s="77"/>
      <c r="AR712" s="77"/>
      <c r="AS712" s="77"/>
      <c r="AT712" s="77"/>
      <c r="AU712" s="77"/>
      <c r="AV712" s="80" t="str">
        <f>HYPERLINK("https://pbs.twimg.com/profile_images/1283576393662636034/EjgsMA_W_normal.jpg")</f>
        <v>https://pbs.twimg.com/profile_images/1283576393662636034/EjgsMA_W_normal.jpg</v>
      </c>
      <c r="AW712" s="82" t="s">
        <v>5045</v>
      </c>
      <c r="AX712" s="82" t="s">
        <v>5497</v>
      </c>
      <c r="AY712" s="82" t="s">
        <v>5605</v>
      </c>
      <c r="AZ712" s="82" t="s">
        <v>5777</v>
      </c>
      <c r="BA712" s="82" t="s">
        <v>5615</v>
      </c>
      <c r="BB712" s="82" t="s">
        <v>5615</v>
      </c>
      <c r="BC712" s="82" t="s">
        <v>5777</v>
      </c>
      <c r="BD712" s="82" t="s">
        <v>5605</v>
      </c>
      <c r="BE712" s="77"/>
      <c r="BF712" s="77"/>
      <c r="BG712" s="77"/>
      <c r="BH712" s="77"/>
      <c r="BI712" s="77"/>
    </row>
    <row r="713" spans="1:61" x14ac:dyDescent="0.25">
      <c r="A713" s="62" t="s">
        <v>475</v>
      </c>
      <c r="B713" s="62" t="s">
        <v>475</v>
      </c>
      <c r="C713" s="63"/>
      <c r="D713" s="64"/>
      <c r="E713" s="65"/>
      <c r="F713" s="66"/>
      <c r="G713" s="63"/>
      <c r="H713" s="67"/>
      <c r="I713" s="68"/>
      <c r="J713" s="68"/>
      <c r="K713" s="32"/>
      <c r="L713" s="75">
        <v>713</v>
      </c>
      <c r="M713" s="75"/>
      <c r="N713" s="70"/>
      <c r="O713" s="77" t="s">
        <v>583</v>
      </c>
      <c r="P713" s="79">
        <v>45072.465914351851</v>
      </c>
      <c r="Q713" s="77" t="s">
        <v>1263</v>
      </c>
      <c r="R713" s="77">
        <v>0</v>
      </c>
      <c r="S713" s="77">
        <v>0</v>
      </c>
      <c r="T713" s="77">
        <v>0</v>
      </c>
      <c r="U713" s="77">
        <v>0</v>
      </c>
      <c r="V713" s="77">
        <v>4</v>
      </c>
      <c r="W713" s="82" t="s">
        <v>1947</v>
      </c>
      <c r="X713" s="77"/>
      <c r="Y713" s="77"/>
      <c r="Z713" s="77"/>
      <c r="AA713" s="77"/>
      <c r="AB713" s="77"/>
      <c r="AC713" s="82" t="s">
        <v>2720</v>
      </c>
      <c r="AD713" s="77" t="s">
        <v>2752</v>
      </c>
      <c r="AE713" s="80" t="str">
        <f>HYPERLINK("https://twitter.com/economedicos/status/1662053697549991939")</f>
        <v>https://twitter.com/economedicos/status/1662053697549991939</v>
      </c>
      <c r="AF713" s="79">
        <v>45072.465914351851</v>
      </c>
      <c r="AG713" s="85">
        <v>45072</v>
      </c>
      <c r="AH713" s="82" t="s">
        <v>3463</v>
      </c>
      <c r="AI713" s="77"/>
      <c r="AJ713" s="77"/>
      <c r="AK713" s="77"/>
      <c r="AL713" s="77"/>
      <c r="AM713" s="77"/>
      <c r="AN713" s="77"/>
      <c r="AO713" s="77"/>
      <c r="AP713" s="77"/>
      <c r="AQ713" s="77"/>
      <c r="AR713" s="77"/>
      <c r="AS713" s="77"/>
      <c r="AT713" s="77"/>
      <c r="AU713" s="77"/>
      <c r="AV713" s="80" t="str">
        <f>HYPERLINK("https://pbs.twimg.com/profile_images/1283576393662636034/EjgsMA_W_normal.jpg")</f>
        <v>https://pbs.twimg.com/profile_images/1283576393662636034/EjgsMA_W_normal.jpg</v>
      </c>
      <c r="AW713" s="82" t="s">
        <v>5046</v>
      </c>
      <c r="AX713" s="82" t="s">
        <v>5498</v>
      </c>
      <c r="AY713" s="82" t="s">
        <v>5605</v>
      </c>
      <c r="AZ713" s="82" t="s">
        <v>5778</v>
      </c>
      <c r="BA713" s="82" t="s">
        <v>5615</v>
      </c>
      <c r="BB713" s="82" t="s">
        <v>5615</v>
      </c>
      <c r="BC713" s="82" t="s">
        <v>5778</v>
      </c>
      <c r="BD713" s="82" t="s">
        <v>5605</v>
      </c>
      <c r="BE713" s="77"/>
      <c r="BF713" s="77"/>
      <c r="BG713" s="77"/>
      <c r="BH713" s="77"/>
      <c r="BI713" s="77"/>
    </row>
    <row r="714" spans="1:61" x14ac:dyDescent="0.25">
      <c r="A714" s="62" t="s">
        <v>475</v>
      </c>
      <c r="B714" s="62" t="s">
        <v>475</v>
      </c>
      <c r="C714" s="63"/>
      <c r="D714" s="64"/>
      <c r="E714" s="65"/>
      <c r="F714" s="66"/>
      <c r="G714" s="63"/>
      <c r="H714" s="67"/>
      <c r="I714" s="68"/>
      <c r="J714" s="68"/>
      <c r="K714" s="32"/>
      <c r="L714" s="75">
        <v>714</v>
      </c>
      <c r="M714" s="75"/>
      <c r="N714" s="70"/>
      <c r="O714" s="77" t="s">
        <v>583</v>
      </c>
      <c r="P714" s="79">
        <v>45071.434062499997</v>
      </c>
      <c r="Q714" s="77" t="s">
        <v>1264</v>
      </c>
      <c r="R714" s="77">
        <v>0</v>
      </c>
      <c r="S714" s="77">
        <v>0</v>
      </c>
      <c r="T714" s="77">
        <v>0</v>
      </c>
      <c r="U714" s="77">
        <v>0</v>
      </c>
      <c r="V714" s="77">
        <v>10</v>
      </c>
      <c r="W714" s="82" t="s">
        <v>1947</v>
      </c>
      <c r="X714" s="77"/>
      <c r="Y714" s="77"/>
      <c r="Z714" s="77"/>
      <c r="AA714" s="77"/>
      <c r="AB714" s="77"/>
      <c r="AC714" s="82" t="s">
        <v>2720</v>
      </c>
      <c r="AD714" s="77" t="s">
        <v>2752</v>
      </c>
      <c r="AE714" s="80" t="str">
        <f>HYPERLINK("https://twitter.com/economedicos/status/1661679766875824130")</f>
        <v>https://twitter.com/economedicos/status/1661679766875824130</v>
      </c>
      <c r="AF714" s="79">
        <v>45071.434062499997</v>
      </c>
      <c r="AG714" s="85">
        <v>45071</v>
      </c>
      <c r="AH714" s="82" t="s">
        <v>3464</v>
      </c>
      <c r="AI714" s="77"/>
      <c r="AJ714" s="77"/>
      <c r="AK714" s="77"/>
      <c r="AL714" s="77"/>
      <c r="AM714" s="77"/>
      <c r="AN714" s="77"/>
      <c r="AO714" s="77"/>
      <c r="AP714" s="77"/>
      <c r="AQ714" s="77"/>
      <c r="AR714" s="77"/>
      <c r="AS714" s="77"/>
      <c r="AT714" s="77"/>
      <c r="AU714" s="77"/>
      <c r="AV714" s="80" t="str">
        <f>HYPERLINK("https://pbs.twimg.com/profile_images/1283576393662636034/EjgsMA_W_normal.jpg")</f>
        <v>https://pbs.twimg.com/profile_images/1283576393662636034/EjgsMA_W_normal.jpg</v>
      </c>
      <c r="AW714" s="82" t="s">
        <v>5047</v>
      </c>
      <c r="AX714" s="82" t="s">
        <v>5499</v>
      </c>
      <c r="AY714" s="82" t="s">
        <v>5605</v>
      </c>
      <c r="AZ714" s="82" t="s">
        <v>5779</v>
      </c>
      <c r="BA714" s="82" t="s">
        <v>5615</v>
      </c>
      <c r="BB714" s="82" t="s">
        <v>5615</v>
      </c>
      <c r="BC714" s="82" t="s">
        <v>5779</v>
      </c>
      <c r="BD714" s="82" t="s">
        <v>5605</v>
      </c>
      <c r="BE714" s="77"/>
      <c r="BF714" s="77"/>
      <c r="BG714" s="77"/>
      <c r="BH714" s="77"/>
      <c r="BI714" s="77"/>
    </row>
    <row r="715" spans="1:61" x14ac:dyDescent="0.25">
      <c r="A715" s="62" t="s">
        <v>475</v>
      </c>
      <c r="B715" s="62" t="s">
        <v>475</v>
      </c>
      <c r="C715" s="63"/>
      <c r="D715" s="64"/>
      <c r="E715" s="65"/>
      <c r="F715" s="66"/>
      <c r="G715" s="63"/>
      <c r="H715" s="67"/>
      <c r="I715" s="68"/>
      <c r="J715" s="68"/>
      <c r="K715" s="32"/>
      <c r="L715" s="75">
        <v>715</v>
      </c>
      <c r="M715" s="75"/>
      <c r="N715" s="70"/>
      <c r="O715" s="77" t="s">
        <v>583</v>
      </c>
      <c r="P715" s="79">
        <v>45070.44871527778</v>
      </c>
      <c r="Q715" s="77" t="s">
        <v>1265</v>
      </c>
      <c r="R715" s="77">
        <v>0</v>
      </c>
      <c r="S715" s="77">
        <v>0</v>
      </c>
      <c r="T715" s="77">
        <v>0</v>
      </c>
      <c r="U715" s="77">
        <v>0</v>
      </c>
      <c r="V715" s="77">
        <v>24</v>
      </c>
      <c r="W715" s="82" t="s">
        <v>1947</v>
      </c>
      <c r="X715" s="77"/>
      <c r="Y715" s="77"/>
      <c r="Z715" s="77"/>
      <c r="AA715" s="77"/>
      <c r="AB715" s="77"/>
      <c r="AC715" s="82" t="s">
        <v>2720</v>
      </c>
      <c r="AD715" s="77" t="s">
        <v>2752</v>
      </c>
      <c r="AE715" s="80" t="str">
        <f>HYPERLINK("https://twitter.com/economedicos/status/1661322687388459008")</f>
        <v>https://twitter.com/economedicos/status/1661322687388459008</v>
      </c>
      <c r="AF715" s="79">
        <v>45070.44871527778</v>
      </c>
      <c r="AG715" s="85">
        <v>45070</v>
      </c>
      <c r="AH715" s="82" t="s">
        <v>3465</v>
      </c>
      <c r="AI715" s="77"/>
      <c r="AJ715" s="77"/>
      <c r="AK715" s="77"/>
      <c r="AL715" s="77"/>
      <c r="AM715" s="77"/>
      <c r="AN715" s="77"/>
      <c r="AO715" s="77"/>
      <c r="AP715" s="77"/>
      <c r="AQ715" s="77"/>
      <c r="AR715" s="77"/>
      <c r="AS715" s="77"/>
      <c r="AT715" s="77"/>
      <c r="AU715" s="77"/>
      <c r="AV715" s="80" t="str">
        <f>HYPERLINK("https://pbs.twimg.com/profile_images/1283576393662636034/EjgsMA_W_normal.jpg")</f>
        <v>https://pbs.twimg.com/profile_images/1283576393662636034/EjgsMA_W_normal.jpg</v>
      </c>
      <c r="AW715" s="82" t="s">
        <v>5048</v>
      </c>
      <c r="AX715" s="82" t="s">
        <v>5500</v>
      </c>
      <c r="AY715" s="82" t="s">
        <v>5605</v>
      </c>
      <c r="AZ715" s="82" t="s">
        <v>5780</v>
      </c>
      <c r="BA715" s="82" t="s">
        <v>5615</v>
      </c>
      <c r="BB715" s="82" t="s">
        <v>5615</v>
      </c>
      <c r="BC715" s="82" t="s">
        <v>5780</v>
      </c>
      <c r="BD715" s="82" t="s">
        <v>5605</v>
      </c>
      <c r="BE715" s="77"/>
      <c r="BF715" s="77"/>
      <c r="BG715" s="77"/>
      <c r="BH715" s="77"/>
      <c r="BI715" s="77"/>
    </row>
    <row r="716" spans="1:61" x14ac:dyDescent="0.25">
      <c r="A716" s="62" t="s">
        <v>475</v>
      </c>
      <c r="B716" s="62" t="s">
        <v>475</v>
      </c>
      <c r="C716" s="63"/>
      <c r="D716" s="64"/>
      <c r="E716" s="65"/>
      <c r="F716" s="66"/>
      <c r="G716" s="63"/>
      <c r="H716" s="67"/>
      <c r="I716" s="68"/>
      <c r="J716" s="68"/>
      <c r="K716" s="32"/>
      <c r="L716" s="75">
        <v>716</v>
      </c>
      <c r="M716" s="75"/>
      <c r="N716" s="70"/>
      <c r="O716" s="77" t="s">
        <v>583</v>
      </c>
      <c r="P716" s="79">
        <v>45069.439189814817</v>
      </c>
      <c r="Q716" s="77" t="s">
        <v>1266</v>
      </c>
      <c r="R716" s="77">
        <v>0</v>
      </c>
      <c r="S716" s="77">
        <v>0</v>
      </c>
      <c r="T716" s="77">
        <v>0</v>
      </c>
      <c r="U716" s="77">
        <v>0</v>
      </c>
      <c r="V716" s="77">
        <v>13</v>
      </c>
      <c r="W716" s="82" t="s">
        <v>1947</v>
      </c>
      <c r="X716" s="77"/>
      <c r="Y716" s="77"/>
      <c r="Z716" s="77"/>
      <c r="AA716" s="77"/>
      <c r="AB716" s="77"/>
      <c r="AC716" s="82" t="s">
        <v>2720</v>
      </c>
      <c r="AD716" s="77" t="s">
        <v>2752</v>
      </c>
      <c r="AE716" s="80" t="str">
        <f>HYPERLINK("https://twitter.com/economedicos/status/1660956849737285639")</f>
        <v>https://twitter.com/economedicos/status/1660956849737285639</v>
      </c>
      <c r="AF716" s="79">
        <v>45069.439189814817</v>
      </c>
      <c r="AG716" s="85">
        <v>45069</v>
      </c>
      <c r="AH716" s="82" t="s">
        <v>3466</v>
      </c>
      <c r="AI716" s="77"/>
      <c r="AJ716" s="77"/>
      <c r="AK716" s="77"/>
      <c r="AL716" s="77"/>
      <c r="AM716" s="77"/>
      <c r="AN716" s="77"/>
      <c r="AO716" s="77"/>
      <c r="AP716" s="77"/>
      <c r="AQ716" s="77"/>
      <c r="AR716" s="77"/>
      <c r="AS716" s="77"/>
      <c r="AT716" s="77"/>
      <c r="AU716" s="77"/>
      <c r="AV716" s="80" t="str">
        <f>HYPERLINK("https://pbs.twimg.com/profile_images/1283576393662636034/EjgsMA_W_normal.jpg")</f>
        <v>https://pbs.twimg.com/profile_images/1283576393662636034/EjgsMA_W_normal.jpg</v>
      </c>
      <c r="AW716" s="82" t="s">
        <v>5049</v>
      </c>
      <c r="AX716" s="82" t="s">
        <v>5501</v>
      </c>
      <c r="AY716" s="82" t="s">
        <v>5605</v>
      </c>
      <c r="AZ716" s="82" t="s">
        <v>5781</v>
      </c>
      <c r="BA716" s="82" t="s">
        <v>5615</v>
      </c>
      <c r="BB716" s="82" t="s">
        <v>5615</v>
      </c>
      <c r="BC716" s="82" t="s">
        <v>5781</v>
      </c>
      <c r="BD716" s="82" t="s">
        <v>5605</v>
      </c>
      <c r="BE716" s="77"/>
      <c r="BF716" s="77"/>
      <c r="BG716" s="77"/>
      <c r="BH716" s="77"/>
      <c r="BI716" s="77"/>
    </row>
    <row r="717" spans="1:61" x14ac:dyDescent="0.25">
      <c r="A717" s="62" t="s">
        <v>475</v>
      </c>
      <c r="B717" s="62" t="s">
        <v>475</v>
      </c>
      <c r="C717" s="63"/>
      <c r="D717" s="64"/>
      <c r="E717" s="65"/>
      <c r="F717" s="66"/>
      <c r="G717" s="63"/>
      <c r="H717" s="67"/>
      <c r="I717" s="68"/>
      <c r="J717" s="68"/>
      <c r="K717" s="32"/>
      <c r="L717" s="75">
        <v>717</v>
      </c>
      <c r="M717" s="75"/>
      <c r="N717" s="70"/>
      <c r="O717" s="77" t="s">
        <v>583</v>
      </c>
      <c r="P717" s="79">
        <v>45044.430266203701</v>
      </c>
      <c r="Q717" s="77" t="s">
        <v>1267</v>
      </c>
      <c r="R717" s="77">
        <v>0</v>
      </c>
      <c r="S717" s="77">
        <v>0</v>
      </c>
      <c r="T717" s="77">
        <v>0</v>
      </c>
      <c r="U717" s="77">
        <v>0</v>
      </c>
      <c r="V717" s="77">
        <v>8</v>
      </c>
      <c r="W717" s="82" t="s">
        <v>1947</v>
      </c>
      <c r="X717" s="77"/>
      <c r="Y717" s="77"/>
      <c r="Z717" s="77"/>
      <c r="AA717" s="77"/>
      <c r="AB717" s="77"/>
      <c r="AC717" s="82" t="s">
        <v>2720</v>
      </c>
      <c r="AD717" s="77" t="s">
        <v>2752</v>
      </c>
      <c r="AE717" s="80" t="str">
        <f>HYPERLINK("https://twitter.com/economedicos/status/1651893917657231360")</f>
        <v>https://twitter.com/economedicos/status/1651893917657231360</v>
      </c>
      <c r="AF717" s="79">
        <v>45044.430266203701</v>
      </c>
      <c r="AG717" s="85">
        <v>45044</v>
      </c>
      <c r="AH717" s="82" t="s">
        <v>3467</v>
      </c>
      <c r="AI717" s="77"/>
      <c r="AJ717" s="77"/>
      <c r="AK717" s="77"/>
      <c r="AL717" s="77"/>
      <c r="AM717" s="77"/>
      <c r="AN717" s="77"/>
      <c r="AO717" s="77"/>
      <c r="AP717" s="77"/>
      <c r="AQ717" s="77"/>
      <c r="AR717" s="77"/>
      <c r="AS717" s="77"/>
      <c r="AT717" s="77"/>
      <c r="AU717" s="77"/>
      <c r="AV717" s="80" t="str">
        <f>HYPERLINK("https://pbs.twimg.com/profile_images/1283576393662636034/EjgsMA_W_normal.jpg")</f>
        <v>https://pbs.twimg.com/profile_images/1283576393662636034/EjgsMA_W_normal.jpg</v>
      </c>
      <c r="AW717" s="82" t="s">
        <v>5050</v>
      </c>
      <c r="AX717" s="82" t="s">
        <v>5502</v>
      </c>
      <c r="AY717" s="82" t="s">
        <v>5605</v>
      </c>
      <c r="AZ717" s="82" t="s">
        <v>5782</v>
      </c>
      <c r="BA717" s="82" t="s">
        <v>5615</v>
      </c>
      <c r="BB717" s="82" t="s">
        <v>5615</v>
      </c>
      <c r="BC717" s="82" t="s">
        <v>5782</v>
      </c>
      <c r="BD717" s="82" t="s">
        <v>5605</v>
      </c>
      <c r="BE717" s="77"/>
      <c r="BF717" s="77"/>
      <c r="BG717" s="77"/>
      <c r="BH717" s="77"/>
      <c r="BI717" s="77"/>
    </row>
    <row r="718" spans="1:61" x14ac:dyDescent="0.25">
      <c r="A718" s="62" t="s">
        <v>475</v>
      </c>
      <c r="B718" s="62" t="s">
        <v>475</v>
      </c>
      <c r="C718" s="63"/>
      <c r="D718" s="64"/>
      <c r="E718" s="65"/>
      <c r="F718" s="66"/>
      <c r="G718" s="63"/>
      <c r="H718" s="67"/>
      <c r="I718" s="68"/>
      <c r="J718" s="68"/>
      <c r="K718" s="32"/>
      <c r="L718" s="75">
        <v>718</v>
      </c>
      <c r="M718" s="75"/>
      <c r="N718" s="70"/>
      <c r="O718" s="77" t="s">
        <v>583</v>
      </c>
      <c r="P718" s="79">
        <v>45043.483668981484</v>
      </c>
      <c r="Q718" s="77" t="s">
        <v>1268</v>
      </c>
      <c r="R718" s="77">
        <v>0</v>
      </c>
      <c r="S718" s="77">
        <v>0</v>
      </c>
      <c r="T718" s="77">
        <v>0</v>
      </c>
      <c r="U718" s="77">
        <v>0</v>
      </c>
      <c r="V718" s="77">
        <v>6</v>
      </c>
      <c r="W718" s="82" t="s">
        <v>1947</v>
      </c>
      <c r="X718" s="77"/>
      <c r="Y718" s="77"/>
      <c r="Z718" s="77"/>
      <c r="AA718" s="77"/>
      <c r="AB718" s="77"/>
      <c r="AC718" s="82" t="s">
        <v>2720</v>
      </c>
      <c r="AD718" s="77" t="s">
        <v>2752</v>
      </c>
      <c r="AE718" s="80" t="str">
        <f>HYPERLINK("https://twitter.com/economedicos/status/1651550884973748227")</f>
        <v>https://twitter.com/economedicos/status/1651550884973748227</v>
      </c>
      <c r="AF718" s="79">
        <v>45043.483668981484</v>
      </c>
      <c r="AG718" s="85">
        <v>45043</v>
      </c>
      <c r="AH718" s="82" t="s">
        <v>3468</v>
      </c>
      <c r="AI718" s="77"/>
      <c r="AJ718" s="77"/>
      <c r="AK718" s="77"/>
      <c r="AL718" s="77"/>
      <c r="AM718" s="77"/>
      <c r="AN718" s="77"/>
      <c r="AO718" s="77"/>
      <c r="AP718" s="77"/>
      <c r="AQ718" s="77"/>
      <c r="AR718" s="77"/>
      <c r="AS718" s="77"/>
      <c r="AT718" s="77"/>
      <c r="AU718" s="77"/>
      <c r="AV718" s="80" t="str">
        <f>HYPERLINK("https://pbs.twimg.com/profile_images/1283576393662636034/EjgsMA_W_normal.jpg")</f>
        <v>https://pbs.twimg.com/profile_images/1283576393662636034/EjgsMA_W_normal.jpg</v>
      </c>
      <c r="AW718" s="82" t="s">
        <v>5051</v>
      </c>
      <c r="AX718" s="82" t="s">
        <v>5503</v>
      </c>
      <c r="AY718" s="82" t="s">
        <v>5605</v>
      </c>
      <c r="AZ718" s="82" t="s">
        <v>5783</v>
      </c>
      <c r="BA718" s="82" t="s">
        <v>5615</v>
      </c>
      <c r="BB718" s="82" t="s">
        <v>5615</v>
      </c>
      <c r="BC718" s="82" t="s">
        <v>5783</v>
      </c>
      <c r="BD718" s="82" t="s">
        <v>5605</v>
      </c>
      <c r="BE718" s="77"/>
      <c r="BF718" s="77"/>
      <c r="BG718" s="77"/>
      <c r="BH718" s="77"/>
      <c r="BI718" s="77"/>
    </row>
    <row r="719" spans="1:61" x14ac:dyDescent="0.25">
      <c r="A719" s="62" t="s">
        <v>475</v>
      </c>
      <c r="B719" s="62" t="s">
        <v>475</v>
      </c>
      <c r="C719" s="63"/>
      <c r="D719" s="64"/>
      <c r="E719" s="65"/>
      <c r="F719" s="66"/>
      <c r="G719" s="63"/>
      <c r="H719" s="67"/>
      <c r="I719" s="68"/>
      <c r="J719" s="68"/>
      <c r="K719" s="32"/>
      <c r="L719" s="75">
        <v>719</v>
      </c>
      <c r="M719" s="75"/>
      <c r="N719" s="70"/>
      <c r="O719" s="77" t="s">
        <v>583</v>
      </c>
      <c r="P719" s="79">
        <v>45042.459756944445</v>
      </c>
      <c r="Q719" s="77" t="s">
        <v>1269</v>
      </c>
      <c r="R719" s="77">
        <v>0</v>
      </c>
      <c r="S719" s="77">
        <v>0</v>
      </c>
      <c r="T719" s="77">
        <v>0</v>
      </c>
      <c r="U719" s="77">
        <v>0</v>
      </c>
      <c r="V719" s="77">
        <v>9</v>
      </c>
      <c r="W719" s="82" t="s">
        <v>1947</v>
      </c>
      <c r="X719" s="77"/>
      <c r="Y719" s="77"/>
      <c r="Z719" s="77"/>
      <c r="AA719" s="77"/>
      <c r="AB719" s="77"/>
      <c r="AC719" s="82" t="s">
        <v>2720</v>
      </c>
      <c r="AD719" s="77" t="s">
        <v>2752</v>
      </c>
      <c r="AE719" s="80" t="str">
        <f>HYPERLINK("https://twitter.com/economedicos/status/1651179830266699776")</f>
        <v>https://twitter.com/economedicos/status/1651179830266699776</v>
      </c>
      <c r="AF719" s="79">
        <v>45042.459756944445</v>
      </c>
      <c r="AG719" s="85">
        <v>45042</v>
      </c>
      <c r="AH719" s="82" t="s">
        <v>3469</v>
      </c>
      <c r="AI719" s="77"/>
      <c r="AJ719" s="77"/>
      <c r="AK719" s="77"/>
      <c r="AL719" s="77"/>
      <c r="AM719" s="77"/>
      <c r="AN719" s="77"/>
      <c r="AO719" s="77"/>
      <c r="AP719" s="77"/>
      <c r="AQ719" s="77"/>
      <c r="AR719" s="77"/>
      <c r="AS719" s="77"/>
      <c r="AT719" s="77"/>
      <c r="AU719" s="77"/>
      <c r="AV719" s="80" t="str">
        <f>HYPERLINK("https://pbs.twimg.com/profile_images/1283576393662636034/EjgsMA_W_normal.jpg")</f>
        <v>https://pbs.twimg.com/profile_images/1283576393662636034/EjgsMA_W_normal.jpg</v>
      </c>
      <c r="AW719" s="82" t="s">
        <v>5052</v>
      </c>
      <c r="AX719" s="82" t="s">
        <v>5504</v>
      </c>
      <c r="AY719" s="82" t="s">
        <v>5605</v>
      </c>
      <c r="AZ719" s="82" t="s">
        <v>5784</v>
      </c>
      <c r="BA719" s="82" t="s">
        <v>5615</v>
      </c>
      <c r="BB719" s="82" t="s">
        <v>5615</v>
      </c>
      <c r="BC719" s="82" t="s">
        <v>5784</v>
      </c>
      <c r="BD719" s="82" t="s">
        <v>5605</v>
      </c>
      <c r="BE719" s="77"/>
      <c r="BF719" s="77"/>
      <c r="BG719" s="77"/>
      <c r="BH719" s="77"/>
      <c r="BI719" s="77"/>
    </row>
    <row r="720" spans="1:61" x14ac:dyDescent="0.25">
      <c r="A720" s="62" t="s">
        <v>475</v>
      </c>
      <c r="B720" s="62" t="s">
        <v>475</v>
      </c>
      <c r="C720" s="63"/>
      <c r="D720" s="64"/>
      <c r="E720" s="65"/>
      <c r="F720" s="66"/>
      <c r="G720" s="63"/>
      <c r="H720" s="67"/>
      <c r="I720" s="68"/>
      <c r="J720" s="68"/>
      <c r="K720" s="32"/>
      <c r="L720" s="75">
        <v>720</v>
      </c>
      <c r="M720" s="75"/>
      <c r="N720" s="70"/>
      <c r="O720" s="77" t="s">
        <v>583</v>
      </c>
      <c r="P720" s="79">
        <v>45040.4453125</v>
      </c>
      <c r="Q720" s="77" t="s">
        <v>1270</v>
      </c>
      <c r="R720" s="77">
        <v>0</v>
      </c>
      <c r="S720" s="77">
        <v>0</v>
      </c>
      <c r="T720" s="77">
        <v>0</v>
      </c>
      <c r="U720" s="77">
        <v>0</v>
      </c>
      <c r="V720" s="77">
        <v>2</v>
      </c>
      <c r="W720" s="82" t="s">
        <v>1947</v>
      </c>
      <c r="X720" s="77"/>
      <c r="Y720" s="77"/>
      <c r="Z720" s="77"/>
      <c r="AA720" s="77"/>
      <c r="AB720" s="77"/>
      <c r="AC720" s="82" t="s">
        <v>2720</v>
      </c>
      <c r="AD720" s="77" t="s">
        <v>2752</v>
      </c>
      <c r="AE720" s="80" t="str">
        <f>HYPERLINK("https://twitter.com/economedicos/status/1650449818123223040")</f>
        <v>https://twitter.com/economedicos/status/1650449818123223040</v>
      </c>
      <c r="AF720" s="79">
        <v>45040.4453125</v>
      </c>
      <c r="AG720" s="85">
        <v>45040</v>
      </c>
      <c r="AH720" s="82" t="s">
        <v>3470</v>
      </c>
      <c r="AI720" s="77"/>
      <c r="AJ720" s="77"/>
      <c r="AK720" s="77"/>
      <c r="AL720" s="77"/>
      <c r="AM720" s="77"/>
      <c r="AN720" s="77"/>
      <c r="AO720" s="77"/>
      <c r="AP720" s="77"/>
      <c r="AQ720" s="77"/>
      <c r="AR720" s="77"/>
      <c r="AS720" s="77"/>
      <c r="AT720" s="77"/>
      <c r="AU720" s="77"/>
      <c r="AV720" s="80" t="str">
        <f>HYPERLINK("https://pbs.twimg.com/profile_images/1283576393662636034/EjgsMA_W_normal.jpg")</f>
        <v>https://pbs.twimg.com/profile_images/1283576393662636034/EjgsMA_W_normal.jpg</v>
      </c>
      <c r="AW720" s="82" t="s">
        <v>5053</v>
      </c>
      <c r="AX720" s="82" t="s">
        <v>5505</v>
      </c>
      <c r="AY720" s="82" t="s">
        <v>5605</v>
      </c>
      <c r="AZ720" s="82" t="s">
        <v>5785</v>
      </c>
      <c r="BA720" s="82" t="s">
        <v>5615</v>
      </c>
      <c r="BB720" s="82" t="s">
        <v>5615</v>
      </c>
      <c r="BC720" s="82" t="s">
        <v>5785</v>
      </c>
      <c r="BD720" s="82" t="s">
        <v>5605</v>
      </c>
      <c r="BE720" s="77"/>
      <c r="BF720" s="77"/>
      <c r="BG720" s="77"/>
      <c r="BH720" s="77"/>
      <c r="BI720" s="77"/>
    </row>
    <row r="721" spans="1:61" x14ac:dyDescent="0.25">
      <c r="A721" s="62" t="s">
        <v>475</v>
      </c>
      <c r="B721" s="62" t="s">
        <v>475</v>
      </c>
      <c r="C721" s="63"/>
      <c r="D721" s="64"/>
      <c r="E721" s="65"/>
      <c r="F721" s="66"/>
      <c r="G721" s="63"/>
      <c r="H721" s="67"/>
      <c r="I721" s="68"/>
      <c r="J721" s="68"/>
      <c r="K721" s="32"/>
      <c r="L721" s="75">
        <v>721</v>
      </c>
      <c r="M721" s="75"/>
      <c r="N721" s="70"/>
      <c r="O721" s="77" t="s">
        <v>583</v>
      </c>
      <c r="P721" s="79">
        <v>45009.462083333332</v>
      </c>
      <c r="Q721" s="77" t="s">
        <v>1271</v>
      </c>
      <c r="R721" s="77">
        <v>0</v>
      </c>
      <c r="S721" s="77">
        <v>0</v>
      </c>
      <c r="T721" s="77">
        <v>0</v>
      </c>
      <c r="U721" s="77">
        <v>0</v>
      </c>
      <c r="V721" s="77">
        <v>3</v>
      </c>
      <c r="W721" s="82" t="s">
        <v>1947</v>
      </c>
      <c r="X721" s="77"/>
      <c r="Y721" s="77"/>
      <c r="Z721" s="77"/>
      <c r="AA721" s="77"/>
      <c r="AB721" s="77"/>
      <c r="AC721" s="82" t="s">
        <v>2720</v>
      </c>
      <c r="AD721" s="77" t="s">
        <v>2752</v>
      </c>
      <c r="AE721" s="80" t="str">
        <f>HYPERLINK("https://twitter.com/economedicos/status/1639221874184912896")</f>
        <v>https://twitter.com/economedicos/status/1639221874184912896</v>
      </c>
      <c r="AF721" s="79">
        <v>45009.462083333332</v>
      </c>
      <c r="AG721" s="85">
        <v>45009</v>
      </c>
      <c r="AH721" s="82" t="s">
        <v>3471</v>
      </c>
      <c r="AI721" s="77"/>
      <c r="AJ721" s="77"/>
      <c r="AK721" s="77"/>
      <c r="AL721" s="77"/>
      <c r="AM721" s="77"/>
      <c r="AN721" s="77"/>
      <c r="AO721" s="77"/>
      <c r="AP721" s="77"/>
      <c r="AQ721" s="77"/>
      <c r="AR721" s="77"/>
      <c r="AS721" s="77"/>
      <c r="AT721" s="77"/>
      <c r="AU721" s="77"/>
      <c r="AV721" s="80" t="str">
        <f>HYPERLINK("https://pbs.twimg.com/profile_images/1283576393662636034/EjgsMA_W_normal.jpg")</f>
        <v>https://pbs.twimg.com/profile_images/1283576393662636034/EjgsMA_W_normal.jpg</v>
      </c>
      <c r="AW721" s="82" t="s">
        <v>5054</v>
      </c>
      <c r="AX721" s="82" t="s">
        <v>5506</v>
      </c>
      <c r="AY721" s="82" t="s">
        <v>5605</v>
      </c>
      <c r="AZ721" s="82" t="s">
        <v>5786</v>
      </c>
      <c r="BA721" s="82" t="s">
        <v>5615</v>
      </c>
      <c r="BB721" s="82" t="s">
        <v>5615</v>
      </c>
      <c r="BC721" s="82" t="s">
        <v>5786</v>
      </c>
      <c r="BD721" s="82" t="s">
        <v>5605</v>
      </c>
      <c r="BE721" s="77"/>
      <c r="BF721" s="77"/>
      <c r="BG721" s="77"/>
      <c r="BH721" s="77"/>
      <c r="BI721" s="77"/>
    </row>
    <row r="722" spans="1:61" x14ac:dyDescent="0.25">
      <c r="A722" s="62" t="s">
        <v>475</v>
      </c>
      <c r="B722" s="62" t="s">
        <v>475</v>
      </c>
      <c r="C722" s="63"/>
      <c r="D722" s="64"/>
      <c r="E722" s="65"/>
      <c r="F722" s="66"/>
      <c r="G722" s="63"/>
      <c r="H722" s="67"/>
      <c r="I722" s="68"/>
      <c r="J722" s="68"/>
      <c r="K722" s="32"/>
      <c r="L722" s="75">
        <v>722</v>
      </c>
      <c r="M722" s="75"/>
      <c r="N722" s="70"/>
      <c r="O722" s="77" t="s">
        <v>583</v>
      </c>
      <c r="P722" s="79">
        <v>45008.429131944446</v>
      </c>
      <c r="Q722" s="77" t="s">
        <v>1272</v>
      </c>
      <c r="R722" s="77">
        <v>0</v>
      </c>
      <c r="S722" s="77">
        <v>0</v>
      </c>
      <c r="T722" s="77">
        <v>0</v>
      </c>
      <c r="U722" s="77">
        <v>0</v>
      </c>
      <c r="V722" s="77">
        <v>2</v>
      </c>
      <c r="W722" s="82" t="s">
        <v>1947</v>
      </c>
      <c r="X722" s="77"/>
      <c r="Y722" s="77"/>
      <c r="Z722" s="77"/>
      <c r="AA722" s="77"/>
      <c r="AB722" s="77"/>
      <c r="AC722" s="82" t="s">
        <v>2720</v>
      </c>
      <c r="AD722" s="77" t="s">
        <v>2752</v>
      </c>
      <c r="AE722" s="80" t="str">
        <f>HYPERLINK("https://twitter.com/economedicos/status/1638847544192126976")</f>
        <v>https://twitter.com/economedicos/status/1638847544192126976</v>
      </c>
      <c r="AF722" s="79">
        <v>45008.429131944446</v>
      </c>
      <c r="AG722" s="85">
        <v>45008</v>
      </c>
      <c r="AH722" s="82" t="s">
        <v>3472</v>
      </c>
      <c r="AI722" s="77"/>
      <c r="AJ722" s="77"/>
      <c r="AK722" s="77"/>
      <c r="AL722" s="77"/>
      <c r="AM722" s="77"/>
      <c r="AN722" s="77"/>
      <c r="AO722" s="77"/>
      <c r="AP722" s="77"/>
      <c r="AQ722" s="77"/>
      <c r="AR722" s="77"/>
      <c r="AS722" s="77"/>
      <c r="AT722" s="77"/>
      <c r="AU722" s="77"/>
      <c r="AV722" s="80" t="str">
        <f>HYPERLINK("https://pbs.twimg.com/profile_images/1283576393662636034/EjgsMA_W_normal.jpg")</f>
        <v>https://pbs.twimg.com/profile_images/1283576393662636034/EjgsMA_W_normal.jpg</v>
      </c>
      <c r="AW722" s="82" t="s">
        <v>5055</v>
      </c>
      <c r="AX722" s="82" t="s">
        <v>5507</v>
      </c>
      <c r="AY722" s="82" t="s">
        <v>5605</v>
      </c>
      <c r="AZ722" s="82" t="s">
        <v>5787</v>
      </c>
      <c r="BA722" s="82" t="s">
        <v>5615</v>
      </c>
      <c r="BB722" s="82" t="s">
        <v>5615</v>
      </c>
      <c r="BC722" s="82" t="s">
        <v>5787</v>
      </c>
      <c r="BD722" s="82" t="s">
        <v>5605</v>
      </c>
      <c r="BE722" s="77"/>
      <c r="BF722" s="77"/>
      <c r="BG722" s="77"/>
      <c r="BH722" s="77"/>
      <c r="BI722" s="77"/>
    </row>
    <row r="723" spans="1:61" x14ac:dyDescent="0.25">
      <c r="A723" s="62" t="s">
        <v>475</v>
      </c>
      <c r="B723" s="62" t="s">
        <v>475</v>
      </c>
      <c r="C723" s="63"/>
      <c r="D723" s="64"/>
      <c r="E723" s="65"/>
      <c r="F723" s="66"/>
      <c r="G723" s="63"/>
      <c r="H723" s="67"/>
      <c r="I723" s="68"/>
      <c r="J723" s="68"/>
      <c r="K723" s="32"/>
      <c r="L723" s="75">
        <v>723</v>
      </c>
      <c r="M723" s="75"/>
      <c r="N723" s="70"/>
      <c r="O723" s="77" t="s">
        <v>583</v>
      </c>
      <c r="P723" s="79">
        <v>45007.459872685184</v>
      </c>
      <c r="Q723" s="77" t="s">
        <v>1273</v>
      </c>
      <c r="R723" s="77">
        <v>0</v>
      </c>
      <c r="S723" s="77">
        <v>0</v>
      </c>
      <c r="T723" s="77">
        <v>0</v>
      </c>
      <c r="U723" s="77">
        <v>0</v>
      </c>
      <c r="V723" s="77">
        <v>3</v>
      </c>
      <c r="W723" s="82" t="s">
        <v>1947</v>
      </c>
      <c r="X723" s="77"/>
      <c r="Y723" s="77"/>
      <c r="Z723" s="77"/>
      <c r="AA723" s="77"/>
      <c r="AB723" s="77"/>
      <c r="AC723" s="82" t="s">
        <v>2720</v>
      </c>
      <c r="AD723" s="77" t="s">
        <v>2752</v>
      </c>
      <c r="AE723" s="80" t="str">
        <f>HYPERLINK("https://twitter.com/economedicos/status/1638496295022219264")</f>
        <v>https://twitter.com/economedicos/status/1638496295022219264</v>
      </c>
      <c r="AF723" s="79">
        <v>45007.459872685184</v>
      </c>
      <c r="AG723" s="85">
        <v>45007</v>
      </c>
      <c r="AH723" s="82" t="s">
        <v>3473</v>
      </c>
      <c r="AI723" s="77"/>
      <c r="AJ723" s="77"/>
      <c r="AK723" s="77"/>
      <c r="AL723" s="77"/>
      <c r="AM723" s="77"/>
      <c r="AN723" s="77"/>
      <c r="AO723" s="77"/>
      <c r="AP723" s="77"/>
      <c r="AQ723" s="77"/>
      <c r="AR723" s="77"/>
      <c r="AS723" s="77"/>
      <c r="AT723" s="77"/>
      <c r="AU723" s="77"/>
      <c r="AV723" s="80" t="str">
        <f>HYPERLINK("https://pbs.twimg.com/profile_images/1283576393662636034/EjgsMA_W_normal.jpg")</f>
        <v>https://pbs.twimg.com/profile_images/1283576393662636034/EjgsMA_W_normal.jpg</v>
      </c>
      <c r="AW723" s="82" t="s">
        <v>5056</v>
      </c>
      <c r="AX723" s="82" t="s">
        <v>5508</v>
      </c>
      <c r="AY723" s="82" t="s">
        <v>5605</v>
      </c>
      <c r="AZ723" s="82" t="s">
        <v>5788</v>
      </c>
      <c r="BA723" s="82" t="s">
        <v>5615</v>
      </c>
      <c r="BB723" s="82" t="s">
        <v>5615</v>
      </c>
      <c r="BC723" s="82" t="s">
        <v>5788</v>
      </c>
      <c r="BD723" s="82" t="s">
        <v>5605</v>
      </c>
      <c r="BE723" s="77"/>
      <c r="BF723" s="77"/>
      <c r="BG723" s="77"/>
      <c r="BH723" s="77"/>
      <c r="BI723" s="77"/>
    </row>
    <row r="724" spans="1:61" x14ac:dyDescent="0.25">
      <c r="A724" s="62" t="s">
        <v>475</v>
      </c>
      <c r="B724" s="62" t="s">
        <v>475</v>
      </c>
      <c r="C724" s="63"/>
      <c r="D724" s="64"/>
      <c r="E724" s="65"/>
      <c r="F724" s="66"/>
      <c r="G724" s="63"/>
      <c r="H724" s="67"/>
      <c r="I724" s="68"/>
      <c r="J724" s="68"/>
      <c r="K724" s="32"/>
      <c r="L724" s="75">
        <v>724</v>
      </c>
      <c r="M724" s="75"/>
      <c r="N724" s="70"/>
      <c r="O724" s="77" t="s">
        <v>583</v>
      </c>
      <c r="P724" s="79">
        <v>45005.434895833336</v>
      </c>
      <c r="Q724" s="77" t="s">
        <v>1274</v>
      </c>
      <c r="R724" s="77">
        <v>0</v>
      </c>
      <c r="S724" s="77">
        <v>0</v>
      </c>
      <c r="T724" s="77">
        <v>0</v>
      </c>
      <c r="U724" s="77">
        <v>0</v>
      </c>
      <c r="V724" s="77">
        <v>8</v>
      </c>
      <c r="W724" s="82" t="s">
        <v>1947</v>
      </c>
      <c r="X724" s="77"/>
      <c r="Y724" s="77"/>
      <c r="Z724" s="77"/>
      <c r="AA724" s="77"/>
      <c r="AB724" s="77"/>
      <c r="AC724" s="82" t="s">
        <v>2720</v>
      </c>
      <c r="AD724" s="77" t="s">
        <v>2752</v>
      </c>
      <c r="AE724" s="80" t="str">
        <f>HYPERLINK("https://twitter.com/economedicos/status/1637762470579171328")</f>
        <v>https://twitter.com/economedicos/status/1637762470579171328</v>
      </c>
      <c r="AF724" s="79">
        <v>45005.434895833336</v>
      </c>
      <c r="AG724" s="85">
        <v>45005</v>
      </c>
      <c r="AH724" s="82" t="s">
        <v>3474</v>
      </c>
      <c r="AI724" s="77"/>
      <c r="AJ724" s="77"/>
      <c r="AK724" s="77"/>
      <c r="AL724" s="77"/>
      <c r="AM724" s="77"/>
      <c r="AN724" s="77"/>
      <c r="AO724" s="77"/>
      <c r="AP724" s="77"/>
      <c r="AQ724" s="77"/>
      <c r="AR724" s="77"/>
      <c r="AS724" s="77"/>
      <c r="AT724" s="77"/>
      <c r="AU724" s="77"/>
      <c r="AV724" s="80" t="str">
        <f>HYPERLINK("https://pbs.twimg.com/profile_images/1283576393662636034/EjgsMA_W_normal.jpg")</f>
        <v>https://pbs.twimg.com/profile_images/1283576393662636034/EjgsMA_W_normal.jpg</v>
      </c>
      <c r="AW724" s="82" t="s">
        <v>5057</v>
      </c>
      <c r="AX724" s="82" t="s">
        <v>5509</v>
      </c>
      <c r="AY724" s="82" t="s">
        <v>5605</v>
      </c>
      <c r="AZ724" s="82" t="s">
        <v>5789</v>
      </c>
      <c r="BA724" s="82" t="s">
        <v>5615</v>
      </c>
      <c r="BB724" s="82" t="s">
        <v>5615</v>
      </c>
      <c r="BC724" s="82" t="s">
        <v>5789</v>
      </c>
      <c r="BD724" s="82" t="s">
        <v>5605</v>
      </c>
      <c r="BE724" s="77"/>
      <c r="BF724" s="77"/>
      <c r="BG724" s="77"/>
      <c r="BH724" s="77"/>
      <c r="BI724" s="77"/>
    </row>
    <row r="725" spans="1:61" x14ac:dyDescent="0.25">
      <c r="A725" s="62" t="s">
        <v>475</v>
      </c>
      <c r="B725" s="62" t="s">
        <v>475</v>
      </c>
      <c r="C725" s="63"/>
      <c r="D725" s="64"/>
      <c r="E725" s="65"/>
      <c r="F725" s="66"/>
      <c r="G725" s="63"/>
      <c r="H725" s="67"/>
      <c r="I725" s="68"/>
      <c r="J725" s="68"/>
      <c r="K725" s="32"/>
      <c r="L725" s="75">
        <v>725</v>
      </c>
      <c r="M725" s="75"/>
      <c r="N725" s="70"/>
      <c r="O725" s="77" t="s">
        <v>583</v>
      </c>
      <c r="P725" s="79">
        <v>45005.430868055555</v>
      </c>
      <c r="Q725" s="77" t="s">
        <v>1274</v>
      </c>
      <c r="R725" s="77">
        <v>0</v>
      </c>
      <c r="S725" s="77">
        <v>0</v>
      </c>
      <c r="T725" s="77">
        <v>0</v>
      </c>
      <c r="U725" s="77">
        <v>0</v>
      </c>
      <c r="V725" s="77">
        <v>7</v>
      </c>
      <c r="W725" s="82" t="s">
        <v>1947</v>
      </c>
      <c r="X725" s="77"/>
      <c r="Y725" s="77"/>
      <c r="Z725" s="77"/>
      <c r="AA725" s="77"/>
      <c r="AB725" s="77"/>
      <c r="AC725" s="82" t="s">
        <v>2720</v>
      </c>
      <c r="AD725" s="77" t="s">
        <v>2752</v>
      </c>
      <c r="AE725" s="80" t="str">
        <f>HYPERLINK("https://twitter.com/economedicos/status/1637761008511877125")</f>
        <v>https://twitter.com/economedicos/status/1637761008511877125</v>
      </c>
      <c r="AF725" s="79">
        <v>45005.430868055555</v>
      </c>
      <c r="AG725" s="85">
        <v>45005</v>
      </c>
      <c r="AH725" s="82" t="s">
        <v>3475</v>
      </c>
      <c r="AI725" s="77"/>
      <c r="AJ725" s="77"/>
      <c r="AK725" s="77"/>
      <c r="AL725" s="77"/>
      <c r="AM725" s="77"/>
      <c r="AN725" s="77"/>
      <c r="AO725" s="77"/>
      <c r="AP725" s="77"/>
      <c r="AQ725" s="77"/>
      <c r="AR725" s="77"/>
      <c r="AS725" s="77"/>
      <c r="AT725" s="77"/>
      <c r="AU725" s="77"/>
      <c r="AV725" s="80" t="str">
        <f>HYPERLINK("https://pbs.twimg.com/profile_images/1283576393662636034/EjgsMA_W_normal.jpg")</f>
        <v>https://pbs.twimg.com/profile_images/1283576393662636034/EjgsMA_W_normal.jpg</v>
      </c>
      <c r="AW725" s="82" t="s">
        <v>5058</v>
      </c>
      <c r="AX725" s="82" t="s">
        <v>5510</v>
      </c>
      <c r="AY725" s="82" t="s">
        <v>5605</v>
      </c>
      <c r="AZ725" s="82" t="s">
        <v>5790</v>
      </c>
      <c r="BA725" s="82" t="s">
        <v>5615</v>
      </c>
      <c r="BB725" s="82" t="s">
        <v>5615</v>
      </c>
      <c r="BC725" s="82" t="s">
        <v>5790</v>
      </c>
      <c r="BD725" s="82" t="s">
        <v>5605</v>
      </c>
      <c r="BE725" s="77"/>
      <c r="BF725" s="77"/>
      <c r="BG725" s="77"/>
      <c r="BH725" s="77"/>
      <c r="BI725" s="77"/>
    </row>
    <row r="726" spans="1:61" x14ac:dyDescent="0.25">
      <c r="A726" s="62" t="s">
        <v>475</v>
      </c>
      <c r="B726" s="62" t="s">
        <v>475</v>
      </c>
      <c r="C726" s="63"/>
      <c r="D726" s="64"/>
      <c r="E726" s="65"/>
      <c r="F726" s="66"/>
      <c r="G726" s="63"/>
      <c r="H726" s="67"/>
      <c r="I726" s="68"/>
      <c r="J726" s="68"/>
      <c r="K726" s="32"/>
      <c r="L726" s="75">
        <v>726</v>
      </c>
      <c r="M726" s="75"/>
      <c r="N726" s="70"/>
      <c r="O726" s="77" t="s">
        <v>583</v>
      </c>
      <c r="P726" s="79">
        <v>45002.439745370371</v>
      </c>
      <c r="Q726" s="77" t="s">
        <v>1275</v>
      </c>
      <c r="R726" s="77">
        <v>0</v>
      </c>
      <c r="S726" s="77">
        <v>0</v>
      </c>
      <c r="T726" s="77">
        <v>0</v>
      </c>
      <c r="U726" s="77">
        <v>0</v>
      </c>
      <c r="V726" s="77">
        <v>7</v>
      </c>
      <c r="W726" s="82" t="s">
        <v>1947</v>
      </c>
      <c r="X726" s="77"/>
      <c r="Y726" s="77"/>
      <c r="Z726" s="77"/>
      <c r="AA726" s="77"/>
      <c r="AB726" s="77"/>
      <c r="AC726" s="82" t="s">
        <v>2720</v>
      </c>
      <c r="AD726" s="77" t="s">
        <v>2752</v>
      </c>
      <c r="AE726" s="80" t="str">
        <f>HYPERLINK("https://twitter.com/economedicos/status/1636677063221424128")</f>
        <v>https://twitter.com/economedicos/status/1636677063221424128</v>
      </c>
      <c r="AF726" s="79">
        <v>45002.439745370371</v>
      </c>
      <c r="AG726" s="85">
        <v>45002</v>
      </c>
      <c r="AH726" s="82" t="s">
        <v>3476</v>
      </c>
      <c r="AI726" s="77"/>
      <c r="AJ726" s="77"/>
      <c r="AK726" s="77"/>
      <c r="AL726" s="77"/>
      <c r="AM726" s="77"/>
      <c r="AN726" s="77"/>
      <c r="AO726" s="77"/>
      <c r="AP726" s="77"/>
      <c r="AQ726" s="77"/>
      <c r="AR726" s="77"/>
      <c r="AS726" s="77"/>
      <c r="AT726" s="77"/>
      <c r="AU726" s="77"/>
      <c r="AV726" s="80" t="str">
        <f>HYPERLINK("https://pbs.twimg.com/profile_images/1283576393662636034/EjgsMA_W_normal.jpg")</f>
        <v>https://pbs.twimg.com/profile_images/1283576393662636034/EjgsMA_W_normal.jpg</v>
      </c>
      <c r="AW726" s="82" t="s">
        <v>5059</v>
      </c>
      <c r="AX726" s="82" t="s">
        <v>5511</v>
      </c>
      <c r="AY726" s="82" t="s">
        <v>5605</v>
      </c>
      <c r="AZ726" s="82" t="s">
        <v>5791</v>
      </c>
      <c r="BA726" s="82" t="s">
        <v>5615</v>
      </c>
      <c r="BB726" s="82" t="s">
        <v>5615</v>
      </c>
      <c r="BC726" s="82" t="s">
        <v>5791</v>
      </c>
      <c r="BD726" s="82" t="s">
        <v>5605</v>
      </c>
      <c r="BE726" s="77"/>
      <c r="BF726" s="77"/>
      <c r="BG726" s="77"/>
      <c r="BH726" s="77"/>
      <c r="BI726" s="77"/>
    </row>
    <row r="727" spans="1:61" x14ac:dyDescent="0.25">
      <c r="A727" s="62" t="s">
        <v>475</v>
      </c>
      <c r="B727" s="62" t="s">
        <v>475</v>
      </c>
      <c r="C727" s="63"/>
      <c r="D727" s="64"/>
      <c r="E727" s="65"/>
      <c r="F727" s="66"/>
      <c r="G727" s="63"/>
      <c r="H727" s="67"/>
      <c r="I727" s="68"/>
      <c r="J727" s="68"/>
      <c r="K727" s="32"/>
      <c r="L727" s="75">
        <v>727</v>
      </c>
      <c r="M727" s="75"/>
      <c r="N727" s="70"/>
      <c r="O727" s="77" t="s">
        <v>583</v>
      </c>
      <c r="P727" s="79">
        <v>45001.452268518522</v>
      </c>
      <c r="Q727" s="77" t="s">
        <v>1276</v>
      </c>
      <c r="R727" s="77">
        <v>0</v>
      </c>
      <c r="S727" s="77">
        <v>1</v>
      </c>
      <c r="T727" s="77">
        <v>0</v>
      </c>
      <c r="U727" s="77">
        <v>0</v>
      </c>
      <c r="V727" s="77">
        <v>14</v>
      </c>
      <c r="W727" s="82" t="s">
        <v>1947</v>
      </c>
      <c r="X727" s="77"/>
      <c r="Y727" s="77"/>
      <c r="Z727" s="77"/>
      <c r="AA727" s="77"/>
      <c r="AB727" s="77"/>
      <c r="AC727" s="82" t="s">
        <v>2720</v>
      </c>
      <c r="AD727" s="77" t="s">
        <v>2752</v>
      </c>
      <c r="AE727" s="80" t="str">
        <f>HYPERLINK("https://twitter.com/economedicos/status/1636319213689229314")</f>
        <v>https://twitter.com/economedicos/status/1636319213689229314</v>
      </c>
      <c r="AF727" s="79">
        <v>45001.452268518522</v>
      </c>
      <c r="AG727" s="85">
        <v>45001</v>
      </c>
      <c r="AH727" s="82" t="s">
        <v>3477</v>
      </c>
      <c r="AI727" s="77"/>
      <c r="AJ727" s="77"/>
      <c r="AK727" s="77"/>
      <c r="AL727" s="77"/>
      <c r="AM727" s="77"/>
      <c r="AN727" s="77"/>
      <c r="AO727" s="77"/>
      <c r="AP727" s="77"/>
      <c r="AQ727" s="77"/>
      <c r="AR727" s="77"/>
      <c r="AS727" s="77"/>
      <c r="AT727" s="77"/>
      <c r="AU727" s="77"/>
      <c r="AV727" s="80" t="str">
        <f>HYPERLINK("https://pbs.twimg.com/profile_images/1283576393662636034/EjgsMA_W_normal.jpg")</f>
        <v>https://pbs.twimg.com/profile_images/1283576393662636034/EjgsMA_W_normal.jpg</v>
      </c>
      <c r="AW727" s="82" t="s">
        <v>5060</v>
      </c>
      <c r="AX727" s="82" t="s">
        <v>5512</v>
      </c>
      <c r="AY727" s="82" t="s">
        <v>5605</v>
      </c>
      <c r="AZ727" s="82" t="s">
        <v>5792</v>
      </c>
      <c r="BA727" s="82" t="s">
        <v>5615</v>
      </c>
      <c r="BB727" s="82" t="s">
        <v>5615</v>
      </c>
      <c r="BC727" s="82" t="s">
        <v>5792</v>
      </c>
      <c r="BD727" s="82" t="s">
        <v>5605</v>
      </c>
      <c r="BE727" s="77"/>
      <c r="BF727" s="77"/>
      <c r="BG727" s="77"/>
      <c r="BH727" s="77"/>
      <c r="BI727" s="77"/>
    </row>
    <row r="728" spans="1:61" x14ac:dyDescent="0.25">
      <c r="A728" s="62" t="s">
        <v>475</v>
      </c>
      <c r="B728" s="62" t="s">
        <v>475</v>
      </c>
      <c r="C728" s="63"/>
      <c r="D728" s="64"/>
      <c r="E728" s="65"/>
      <c r="F728" s="66"/>
      <c r="G728" s="63"/>
      <c r="H728" s="67"/>
      <c r="I728" s="68"/>
      <c r="J728" s="68"/>
      <c r="K728" s="32"/>
      <c r="L728" s="75">
        <v>728</v>
      </c>
      <c r="M728" s="75"/>
      <c r="N728" s="70"/>
      <c r="O728" s="77" t="s">
        <v>583</v>
      </c>
      <c r="P728" s="79">
        <v>45000.633263888885</v>
      </c>
      <c r="Q728" s="77" t="s">
        <v>1277</v>
      </c>
      <c r="R728" s="77">
        <v>0</v>
      </c>
      <c r="S728" s="77">
        <v>0</v>
      </c>
      <c r="T728" s="77">
        <v>0</v>
      </c>
      <c r="U728" s="77">
        <v>0</v>
      </c>
      <c r="V728" s="77">
        <v>114</v>
      </c>
      <c r="W728" s="82" t="s">
        <v>1947</v>
      </c>
      <c r="X728" s="77"/>
      <c r="Y728" s="77"/>
      <c r="Z728" s="77"/>
      <c r="AA728" s="77"/>
      <c r="AB728" s="77"/>
      <c r="AC728" s="82" t="s">
        <v>2720</v>
      </c>
      <c r="AD728" s="77" t="s">
        <v>2752</v>
      </c>
      <c r="AE728" s="80" t="str">
        <f>HYPERLINK("https://twitter.com/economedicos/status/1636022414277505027")</f>
        <v>https://twitter.com/economedicos/status/1636022414277505027</v>
      </c>
      <c r="AF728" s="79">
        <v>45000.633263888885</v>
      </c>
      <c r="AG728" s="85">
        <v>45000</v>
      </c>
      <c r="AH728" s="82" t="s">
        <v>3478</v>
      </c>
      <c r="AI728" s="77"/>
      <c r="AJ728" s="77"/>
      <c r="AK728" s="77"/>
      <c r="AL728" s="77"/>
      <c r="AM728" s="77"/>
      <c r="AN728" s="77"/>
      <c r="AO728" s="77"/>
      <c r="AP728" s="77"/>
      <c r="AQ728" s="77"/>
      <c r="AR728" s="77"/>
      <c r="AS728" s="77"/>
      <c r="AT728" s="77"/>
      <c r="AU728" s="77"/>
      <c r="AV728" s="80" t="str">
        <f>HYPERLINK("https://pbs.twimg.com/profile_images/1283576393662636034/EjgsMA_W_normal.jpg")</f>
        <v>https://pbs.twimg.com/profile_images/1283576393662636034/EjgsMA_W_normal.jpg</v>
      </c>
      <c r="AW728" s="82" t="s">
        <v>5061</v>
      </c>
      <c r="AX728" s="82" t="s">
        <v>5513</v>
      </c>
      <c r="AY728" s="82" t="s">
        <v>5605</v>
      </c>
      <c r="AZ728" s="82" t="s">
        <v>5793</v>
      </c>
      <c r="BA728" s="82" t="s">
        <v>5615</v>
      </c>
      <c r="BB728" s="82" t="s">
        <v>5615</v>
      </c>
      <c r="BC728" s="82" t="s">
        <v>5793</v>
      </c>
      <c r="BD728" s="82" t="s">
        <v>5605</v>
      </c>
      <c r="BE728" s="77"/>
      <c r="BF728" s="77"/>
      <c r="BG728" s="77"/>
      <c r="BH728" s="77"/>
      <c r="BI728" s="77"/>
    </row>
    <row r="729" spans="1:61" x14ac:dyDescent="0.25">
      <c r="A729" s="62" t="s">
        <v>475</v>
      </c>
      <c r="B729" s="62" t="s">
        <v>475</v>
      </c>
      <c r="C729" s="63"/>
      <c r="D729" s="64"/>
      <c r="E729" s="65"/>
      <c r="F729" s="66"/>
      <c r="G729" s="63"/>
      <c r="H729" s="67"/>
      <c r="I729" s="68"/>
      <c r="J729" s="68"/>
      <c r="K729" s="32"/>
      <c r="L729" s="75">
        <v>729</v>
      </c>
      <c r="M729" s="75"/>
      <c r="N729" s="70"/>
      <c r="O729" s="77" t="s">
        <v>583</v>
      </c>
      <c r="P729" s="79">
        <v>45184.448761574073</v>
      </c>
      <c r="Q729" s="77" t="s">
        <v>1278</v>
      </c>
      <c r="R729" s="77">
        <v>0</v>
      </c>
      <c r="S729" s="77">
        <v>0</v>
      </c>
      <c r="T729" s="77">
        <v>0</v>
      </c>
      <c r="U729" s="77">
        <v>0</v>
      </c>
      <c r="V729" s="77">
        <v>19</v>
      </c>
      <c r="W729" s="82" t="s">
        <v>1947</v>
      </c>
      <c r="X729" s="77"/>
      <c r="Y729" s="77"/>
      <c r="Z729" s="77"/>
      <c r="AA729" s="77"/>
      <c r="AB729" s="77"/>
      <c r="AC729" s="82" t="s">
        <v>2720</v>
      </c>
      <c r="AD729" s="77" t="s">
        <v>2752</v>
      </c>
      <c r="AE729" s="80" t="str">
        <f>HYPERLINK("https://twitter.com/economedicos/status/1702634923398488118")</f>
        <v>https://twitter.com/economedicos/status/1702634923398488118</v>
      </c>
      <c r="AF729" s="79">
        <v>45184.448761574073</v>
      </c>
      <c r="AG729" s="85">
        <v>45184</v>
      </c>
      <c r="AH729" s="82" t="s">
        <v>3479</v>
      </c>
      <c r="AI729" s="77"/>
      <c r="AJ729" s="77"/>
      <c r="AK729" s="77"/>
      <c r="AL729" s="77"/>
      <c r="AM729" s="77"/>
      <c r="AN729" s="77"/>
      <c r="AO729" s="77"/>
      <c r="AP729" s="77"/>
      <c r="AQ729" s="77"/>
      <c r="AR729" s="77"/>
      <c r="AS729" s="77"/>
      <c r="AT729" s="77"/>
      <c r="AU729" s="77"/>
      <c r="AV729" s="80" t="str">
        <f>HYPERLINK("https://pbs.twimg.com/profile_images/1283576393662636034/EjgsMA_W_normal.jpg")</f>
        <v>https://pbs.twimg.com/profile_images/1283576393662636034/EjgsMA_W_normal.jpg</v>
      </c>
      <c r="AW729" s="82" t="s">
        <v>5062</v>
      </c>
      <c r="AX729" s="82" t="s">
        <v>5514</v>
      </c>
      <c r="AY729" s="82" t="s">
        <v>5605</v>
      </c>
      <c r="AZ729" s="82" t="s">
        <v>5794</v>
      </c>
      <c r="BA729" s="82" t="s">
        <v>5615</v>
      </c>
      <c r="BB729" s="82" t="s">
        <v>5615</v>
      </c>
      <c r="BC729" s="82" t="s">
        <v>5794</v>
      </c>
      <c r="BD729" s="82" t="s">
        <v>5605</v>
      </c>
      <c r="BE729" s="77"/>
      <c r="BF729" s="77"/>
      <c r="BG729" s="77"/>
      <c r="BH729" s="77"/>
      <c r="BI729" s="77"/>
    </row>
    <row r="730" spans="1:61" x14ac:dyDescent="0.25">
      <c r="A730" s="62" t="s">
        <v>475</v>
      </c>
      <c r="B730" s="62" t="s">
        <v>475</v>
      </c>
      <c r="C730" s="63"/>
      <c r="D730" s="64"/>
      <c r="E730" s="65"/>
      <c r="F730" s="66"/>
      <c r="G730" s="63"/>
      <c r="H730" s="67"/>
      <c r="I730" s="68"/>
      <c r="J730" s="68"/>
      <c r="K730" s="32"/>
      <c r="L730" s="75">
        <v>730</v>
      </c>
      <c r="M730" s="75"/>
      <c r="N730" s="70"/>
      <c r="O730" s="77" t="s">
        <v>583</v>
      </c>
      <c r="P730" s="79">
        <v>45170.435520833336</v>
      </c>
      <c r="Q730" s="77" t="s">
        <v>1279</v>
      </c>
      <c r="R730" s="77">
        <v>0</v>
      </c>
      <c r="S730" s="77">
        <v>0</v>
      </c>
      <c r="T730" s="77">
        <v>0</v>
      </c>
      <c r="U730" s="77">
        <v>0</v>
      </c>
      <c r="V730" s="77">
        <v>22</v>
      </c>
      <c r="W730" s="82" t="s">
        <v>1947</v>
      </c>
      <c r="X730" s="77"/>
      <c r="Y730" s="77"/>
      <c r="Z730" s="77"/>
      <c r="AA730" s="77"/>
      <c r="AB730" s="77"/>
      <c r="AC730" s="82" t="s">
        <v>2720</v>
      </c>
      <c r="AD730" s="77" t="s">
        <v>2752</v>
      </c>
      <c r="AE730" s="80" t="str">
        <f>HYPERLINK("https://twitter.com/economedicos/status/1697556693373046959")</f>
        <v>https://twitter.com/economedicos/status/1697556693373046959</v>
      </c>
      <c r="AF730" s="79">
        <v>45170.435520833336</v>
      </c>
      <c r="AG730" s="85">
        <v>45170</v>
      </c>
      <c r="AH730" s="82" t="s">
        <v>3480</v>
      </c>
      <c r="AI730" s="77"/>
      <c r="AJ730" s="77"/>
      <c r="AK730" s="77"/>
      <c r="AL730" s="77"/>
      <c r="AM730" s="77"/>
      <c r="AN730" s="77"/>
      <c r="AO730" s="77"/>
      <c r="AP730" s="77"/>
      <c r="AQ730" s="77"/>
      <c r="AR730" s="77"/>
      <c r="AS730" s="77"/>
      <c r="AT730" s="77"/>
      <c r="AU730" s="77"/>
      <c r="AV730" s="80" t="str">
        <f>HYPERLINK("https://pbs.twimg.com/profile_images/1283576393662636034/EjgsMA_W_normal.jpg")</f>
        <v>https://pbs.twimg.com/profile_images/1283576393662636034/EjgsMA_W_normal.jpg</v>
      </c>
      <c r="AW730" s="82" t="s">
        <v>5063</v>
      </c>
      <c r="AX730" s="82" t="s">
        <v>5515</v>
      </c>
      <c r="AY730" s="82" t="s">
        <v>5605</v>
      </c>
      <c r="AZ730" s="82" t="s">
        <v>5795</v>
      </c>
      <c r="BA730" s="82" t="s">
        <v>5615</v>
      </c>
      <c r="BB730" s="82" t="s">
        <v>5615</v>
      </c>
      <c r="BC730" s="82" t="s">
        <v>5795</v>
      </c>
      <c r="BD730" s="82" t="s">
        <v>5605</v>
      </c>
      <c r="BE730" s="77"/>
      <c r="BF730" s="77"/>
      <c r="BG730" s="77"/>
      <c r="BH730" s="77"/>
      <c r="BI730" s="77"/>
    </row>
    <row r="731" spans="1:61" x14ac:dyDescent="0.25">
      <c r="A731" s="62" t="s">
        <v>475</v>
      </c>
      <c r="B731" s="62" t="s">
        <v>475</v>
      </c>
      <c r="C731" s="63"/>
      <c r="D731" s="64"/>
      <c r="E731" s="65"/>
      <c r="F731" s="66"/>
      <c r="G731" s="63"/>
      <c r="H731" s="67"/>
      <c r="I731" s="68"/>
      <c r="J731" s="68"/>
      <c r="K731" s="32"/>
      <c r="L731" s="75">
        <v>731</v>
      </c>
      <c r="M731" s="75"/>
      <c r="N731" s="70"/>
      <c r="O731" s="77" t="s">
        <v>583</v>
      </c>
      <c r="P731" s="79">
        <v>45162.453229166669</v>
      </c>
      <c r="Q731" s="77" t="s">
        <v>1280</v>
      </c>
      <c r="R731" s="77">
        <v>0</v>
      </c>
      <c r="S731" s="77">
        <v>0</v>
      </c>
      <c r="T731" s="77">
        <v>0</v>
      </c>
      <c r="U731" s="77">
        <v>0</v>
      </c>
      <c r="V731" s="77">
        <v>17</v>
      </c>
      <c r="W731" s="82" t="s">
        <v>1947</v>
      </c>
      <c r="X731" s="77"/>
      <c r="Y731" s="77"/>
      <c r="Z731" s="77"/>
      <c r="AA731" s="77"/>
      <c r="AB731" s="77"/>
      <c r="AC731" s="82" t="s">
        <v>2720</v>
      </c>
      <c r="AD731" s="77" t="s">
        <v>2752</v>
      </c>
      <c r="AE731" s="80" t="str">
        <f>HYPERLINK("https://twitter.com/economedicos/status/1694664006127013962")</f>
        <v>https://twitter.com/economedicos/status/1694664006127013962</v>
      </c>
      <c r="AF731" s="79">
        <v>45162.453229166669</v>
      </c>
      <c r="AG731" s="85">
        <v>45162</v>
      </c>
      <c r="AH731" s="82" t="s">
        <v>3481</v>
      </c>
      <c r="AI731" s="77"/>
      <c r="AJ731" s="77"/>
      <c r="AK731" s="77"/>
      <c r="AL731" s="77"/>
      <c r="AM731" s="77"/>
      <c r="AN731" s="77"/>
      <c r="AO731" s="77"/>
      <c r="AP731" s="77"/>
      <c r="AQ731" s="77"/>
      <c r="AR731" s="77"/>
      <c r="AS731" s="77"/>
      <c r="AT731" s="77"/>
      <c r="AU731" s="77"/>
      <c r="AV731" s="80" t="str">
        <f>HYPERLINK("https://pbs.twimg.com/profile_images/1283576393662636034/EjgsMA_W_normal.jpg")</f>
        <v>https://pbs.twimg.com/profile_images/1283576393662636034/EjgsMA_W_normal.jpg</v>
      </c>
      <c r="AW731" s="82" t="s">
        <v>5064</v>
      </c>
      <c r="AX731" s="82" t="s">
        <v>5516</v>
      </c>
      <c r="AY731" s="82" t="s">
        <v>5605</v>
      </c>
      <c r="AZ731" s="82" t="s">
        <v>5796</v>
      </c>
      <c r="BA731" s="82" t="s">
        <v>5615</v>
      </c>
      <c r="BB731" s="82" t="s">
        <v>5615</v>
      </c>
      <c r="BC731" s="82" t="s">
        <v>5796</v>
      </c>
      <c r="BD731" s="82" t="s">
        <v>5605</v>
      </c>
      <c r="BE731" s="77"/>
      <c r="BF731" s="77"/>
      <c r="BG731" s="77"/>
      <c r="BH731" s="77"/>
      <c r="BI731" s="77"/>
    </row>
    <row r="732" spans="1:61" x14ac:dyDescent="0.25">
      <c r="A732" s="62" t="s">
        <v>475</v>
      </c>
      <c r="B732" s="62" t="s">
        <v>475</v>
      </c>
      <c r="C732" s="63"/>
      <c r="D732" s="64"/>
      <c r="E732" s="65"/>
      <c r="F732" s="66"/>
      <c r="G732" s="63"/>
      <c r="H732" s="67"/>
      <c r="I732" s="68"/>
      <c r="J732" s="68"/>
      <c r="K732" s="32"/>
      <c r="L732" s="75">
        <v>732</v>
      </c>
      <c r="M732" s="75"/>
      <c r="N732" s="70"/>
      <c r="O732" s="77" t="s">
        <v>583</v>
      </c>
      <c r="P732" s="79">
        <v>45161.395555555559</v>
      </c>
      <c r="Q732" s="77" t="s">
        <v>1281</v>
      </c>
      <c r="R732" s="77">
        <v>0</v>
      </c>
      <c r="S732" s="77">
        <v>0</v>
      </c>
      <c r="T732" s="77">
        <v>0</v>
      </c>
      <c r="U732" s="77">
        <v>0</v>
      </c>
      <c r="V732" s="77">
        <v>17</v>
      </c>
      <c r="W732" s="82" t="s">
        <v>1947</v>
      </c>
      <c r="X732" s="77"/>
      <c r="Y732" s="77"/>
      <c r="Z732" s="77"/>
      <c r="AA732" s="77"/>
      <c r="AB732" s="77"/>
      <c r="AC732" s="82" t="s">
        <v>2720</v>
      </c>
      <c r="AD732" s="77" t="s">
        <v>2752</v>
      </c>
      <c r="AE732" s="80" t="str">
        <f>HYPERLINK("https://twitter.com/economedicos/status/1694280721584799760")</f>
        <v>https://twitter.com/economedicos/status/1694280721584799760</v>
      </c>
      <c r="AF732" s="79">
        <v>45161.395555555559</v>
      </c>
      <c r="AG732" s="85">
        <v>45161</v>
      </c>
      <c r="AH732" s="82" t="s">
        <v>3482</v>
      </c>
      <c r="AI732" s="77"/>
      <c r="AJ732" s="77"/>
      <c r="AK732" s="77"/>
      <c r="AL732" s="77"/>
      <c r="AM732" s="77"/>
      <c r="AN732" s="77"/>
      <c r="AO732" s="77"/>
      <c r="AP732" s="77"/>
      <c r="AQ732" s="77"/>
      <c r="AR732" s="77"/>
      <c r="AS732" s="77"/>
      <c r="AT732" s="77"/>
      <c r="AU732" s="77"/>
      <c r="AV732" s="80" t="str">
        <f>HYPERLINK("https://pbs.twimg.com/profile_images/1283576393662636034/EjgsMA_W_normal.jpg")</f>
        <v>https://pbs.twimg.com/profile_images/1283576393662636034/EjgsMA_W_normal.jpg</v>
      </c>
      <c r="AW732" s="82" t="s">
        <v>5065</v>
      </c>
      <c r="AX732" s="82" t="s">
        <v>5517</v>
      </c>
      <c r="AY732" s="82" t="s">
        <v>5605</v>
      </c>
      <c r="AZ732" s="82" t="s">
        <v>5797</v>
      </c>
      <c r="BA732" s="82" t="s">
        <v>5615</v>
      </c>
      <c r="BB732" s="82" t="s">
        <v>5615</v>
      </c>
      <c r="BC732" s="82" t="s">
        <v>5797</v>
      </c>
      <c r="BD732" s="82" t="s">
        <v>5605</v>
      </c>
      <c r="BE732" s="77"/>
      <c r="BF732" s="77"/>
      <c r="BG732" s="77"/>
      <c r="BH732" s="77"/>
      <c r="BI732" s="77"/>
    </row>
    <row r="733" spans="1:61" x14ac:dyDescent="0.25">
      <c r="A733" s="62" t="s">
        <v>475</v>
      </c>
      <c r="B733" s="62" t="s">
        <v>475</v>
      </c>
      <c r="C733" s="63"/>
      <c r="D733" s="64"/>
      <c r="E733" s="65"/>
      <c r="F733" s="66"/>
      <c r="G733" s="63"/>
      <c r="H733" s="67"/>
      <c r="I733" s="68"/>
      <c r="J733" s="68"/>
      <c r="K733" s="32"/>
      <c r="L733" s="75">
        <v>733</v>
      </c>
      <c r="M733" s="75"/>
      <c r="N733" s="70"/>
      <c r="O733" s="77" t="s">
        <v>583</v>
      </c>
      <c r="P733" s="79">
        <v>45152.465289351851</v>
      </c>
      <c r="Q733" s="77" t="s">
        <v>1282</v>
      </c>
      <c r="R733" s="77">
        <v>0</v>
      </c>
      <c r="S733" s="77">
        <v>0</v>
      </c>
      <c r="T733" s="77">
        <v>0</v>
      </c>
      <c r="U733" s="77">
        <v>0</v>
      </c>
      <c r="V733" s="77">
        <v>6</v>
      </c>
      <c r="W733" s="82" t="s">
        <v>1947</v>
      </c>
      <c r="X733" s="77"/>
      <c r="Y733" s="77"/>
      <c r="Z733" s="77"/>
      <c r="AA733" s="77"/>
      <c r="AB733" s="77"/>
      <c r="AC733" s="82" t="s">
        <v>2720</v>
      </c>
      <c r="AD733" s="77" t="s">
        <v>2752</v>
      </c>
      <c r="AE733" s="80" t="str">
        <f>HYPERLINK("https://twitter.com/economedicos/status/1691044500137762816")</f>
        <v>https://twitter.com/economedicos/status/1691044500137762816</v>
      </c>
      <c r="AF733" s="79">
        <v>45152.465289351851</v>
      </c>
      <c r="AG733" s="85">
        <v>45152</v>
      </c>
      <c r="AH733" s="82" t="s">
        <v>3483</v>
      </c>
      <c r="AI733" s="77"/>
      <c r="AJ733" s="77"/>
      <c r="AK733" s="77"/>
      <c r="AL733" s="77"/>
      <c r="AM733" s="77"/>
      <c r="AN733" s="77"/>
      <c r="AO733" s="77"/>
      <c r="AP733" s="77"/>
      <c r="AQ733" s="77"/>
      <c r="AR733" s="77"/>
      <c r="AS733" s="77"/>
      <c r="AT733" s="77"/>
      <c r="AU733" s="77"/>
      <c r="AV733" s="80" t="str">
        <f>HYPERLINK("https://pbs.twimg.com/profile_images/1283576393662636034/EjgsMA_W_normal.jpg")</f>
        <v>https://pbs.twimg.com/profile_images/1283576393662636034/EjgsMA_W_normal.jpg</v>
      </c>
      <c r="AW733" s="82" t="s">
        <v>5066</v>
      </c>
      <c r="AX733" s="82" t="s">
        <v>5518</v>
      </c>
      <c r="AY733" s="82" t="s">
        <v>5605</v>
      </c>
      <c r="AZ733" s="82" t="s">
        <v>5798</v>
      </c>
      <c r="BA733" s="82" t="s">
        <v>5615</v>
      </c>
      <c r="BB733" s="82" t="s">
        <v>5615</v>
      </c>
      <c r="BC733" s="82" t="s">
        <v>5798</v>
      </c>
      <c r="BD733" s="82" t="s">
        <v>5605</v>
      </c>
      <c r="BE733" s="77"/>
      <c r="BF733" s="77"/>
      <c r="BG733" s="77"/>
      <c r="BH733" s="77"/>
      <c r="BI733" s="77"/>
    </row>
    <row r="734" spans="1:61" x14ac:dyDescent="0.25">
      <c r="A734" s="62" t="s">
        <v>475</v>
      </c>
      <c r="B734" s="62" t="s">
        <v>475</v>
      </c>
      <c r="C734" s="63"/>
      <c r="D734" s="64"/>
      <c r="E734" s="65"/>
      <c r="F734" s="66"/>
      <c r="G734" s="63"/>
      <c r="H734" s="67"/>
      <c r="I734" s="68"/>
      <c r="J734" s="68"/>
      <c r="K734" s="32"/>
      <c r="L734" s="75">
        <v>734</v>
      </c>
      <c r="M734" s="75"/>
      <c r="N734" s="70"/>
      <c r="O734" s="77" t="s">
        <v>583</v>
      </c>
      <c r="P734" s="79">
        <v>45145.494930555556</v>
      </c>
      <c r="Q734" s="77" t="s">
        <v>1283</v>
      </c>
      <c r="R734" s="77">
        <v>0</v>
      </c>
      <c r="S734" s="77">
        <v>0</v>
      </c>
      <c r="T734" s="77">
        <v>0</v>
      </c>
      <c r="U734" s="77">
        <v>0</v>
      </c>
      <c r="V734" s="77">
        <v>17</v>
      </c>
      <c r="W734" s="82" t="s">
        <v>1947</v>
      </c>
      <c r="X734" s="77"/>
      <c r="Y734" s="77"/>
      <c r="Z734" s="77"/>
      <c r="AA734" s="77"/>
      <c r="AB734" s="77"/>
      <c r="AC734" s="82" t="s">
        <v>2720</v>
      </c>
      <c r="AD734" s="77" t="s">
        <v>2752</v>
      </c>
      <c r="AE734" s="80" t="str">
        <f>HYPERLINK("https://twitter.com/economedicos/status/1688518527391559680")</f>
        <v>https://twitter.com/economedicos/status/1688518527391559680</v>
      </c>
      <c r="AF734" s="79">
        <v>45145.494930555556</v>
      </c>
      <c r="AG734" s="85">
        <v>45145</v>
      </c>
      <c r="AH734" s="82" t="s">
        <v>3484</v>
      </c>
      <c r="AI734" s="77"/>
      <c r="AJ734" s="77"/>
      <c r="AK734" s="77"/>
      <c r="AL734" s="77"/>
      <c r="AM734" s="77"/>
      <c r="AN734" s="77"/>
      <c r="AO734" s="77"/>
      <c r="AP734" s="77"/>
      <c r="AQ734" s="77"/>
      <c r="AR734" s="77"/>
      <c r="AS734" s="77"/>
      <c r="AT734" s="77"/>
      <c r="AU734" s="77"/>
      <c r="AV734" s="80" t="str">
        <f>HYPERLINK("https://pbs.twimg.com/profile_images/1283576393662636034/EjgsMA_W_normal.jpg")</f>
        <v>https://pbs.twimg.com/profile_images/1283576393662636034/EjgsMA_W_normal.jpg</v>
      </c>
      <c r="AW734" s="82" t="s">
        <v>5067</v>
      </c>
      <c r="AX734" s="82" t="s">
        <v>5519</v>
      </c>
      <c r="AY734" s="82" t="s">
        <v>5605</v>
      </c>
      <c r="AZ734" s="82" t="s">
        <v>5799</v>
      </c>
      <c r="BA734" s="82" t="s">
        <v>5615</v>
      </c>
      <c r="BB734" s="82" t="s">
        <v>5615</v>
      </c>
      <c r="BC734" s="82" t="s">
        <v>5799</v>
      </c>
      <c r="BD734" s="82" t="s">
        <v>5605</v>
      </c>
      <c r="BE734" s="77"/>
      <c r="BF734" s="77"/>
      <c r="BG734" s="77"/>
      <c r="BH734" s="77"/>
      <c r="BI734" s="77"/>
    </row>
    <row r="735" spans="1:61" x14ac:dyDescent="0.25">
      <c r="A735" s="62" t="s">
        <v>475</v>
      </c>
      <c r="B735" s="62" t="s">
        <v>475</v>
      </c>
      <c r="C735" s="63"/>
      <c r="D735" s="64"/>
      <c r="E735" s="65"/>
      <c r="F735" s="66"/>
      <c r="G735" s="63"/>
      <c r="H735" s="67"/>
      <c r="I735" s="68"/>
      <c r="J735" s="68"/>
      <c r="K735" s="32"/>
      <c r="L735" s="75">
        <v>735</v>
      </c>
      <c r="M735" s="75"/>
      <c r="N735" s="70"/>
      <c r="O735" s="77" t="s">
        <v>583</v>
      </c>
      <c r="P735" s="79">
        <v>44995.44604166667</v>
      </c>
      <c r="Q735" s="77" t="s">
        <v>1284</v>
      </c>
      <c r="R735" s="77">
        <v>0</v>
      </c>
      <c r="S735" s="77">
        <v>0</v>
      </c>
      <c r="T735" s="77">
        <v>0</v>
      </c>
      <c r="U735" s="77">
        <v>0</v>
      </c>
      <c r="V735" s="77">
        <v>8</v>
      </c>
      <c r="W735" s="82" t="s">
        <v>1947</v>
      </c>
      <c r="X735" s="77"/>
      <c r="Y735" s="77"/>
      <c r="Z735" s="77"/>
      <c r="AA735" s="77"/>
      <c r="AB735" s="77"/>
      <c r="AC735" s="82" t="s">
        <v>2720</v>
      </c>
      <c r="AD735" s="77" t="s">
        <v>2752</v>
      </c>
      <c r="AE735" s="80" t="str">
        <f>HYPERLINK("https://twitter.com/economedicos/status/1634142631407108097")</f>
        <v>https://twitter.com/economedicos/status/1634142631407108097</v>
      </c>
      <c r="AF735" s="79">
        <v>44995.44604166667</v>
      </c>
      <c r="AG735" s="85">
        <v>44995</v>
      </c>
      <c r="AH735" s="82" t="s">
        <v>3485</v>
      </c>
      <c r="AI735" s="77"/>
      <c r="AJ735" s="77"/>
      <c r="AK735" s="77"/>
      <c r="AL735" s="77"/>
      <c r="AM735" s="77"/>
      <c r="AN735" s="77"/>
      <c r="AO735" s="77"/>
      <c r="AP735" s="77"/>
      <c r="AQ735" s="77"/>
      <c r="AR735" s="77"/>
      <c r="AS735" s="77"/>
      <c r="AT735" s="77"/>
      <c r="AU735" s="77"/>
      <c r="AV735" s="80" t="str">
        <f>HYPERLINK("https://pbs.twimg.com/profile_images/1283576393662636034/EjgsMA_W_normal.jpg")</f>
        <v>https://pbs.twimg.com/profile_images/1283576393662636034/EjgsMA_W_normal.jpg</v>
      </c>
      <c r="AW735" s="82" t="s">
        <v>5068</v>
      </c>
      <c r="AX735" s="82" t="s">
        <v>5520</v>
      </c>
      <c r="AY735" s="82" t="s">
        <v>5605</v>
      </c>
      <c r="AZ735" s="82" t="s">
        <v>5800</v>
      </c>
      <c r="BA735" s="82" t="s">
        <v>5615</v>
      </c>
      <c r="BB735" s="82" t="s">
        <v>5615</v>
      </c>
      <c r="BC735" s="82" t="s">
        <v>5800</v>
      </c>
      <c r="BD735" s="82" t="s">
        <v>5605</v>
      </c>
      <c r="BE735" s="77"/>
      <c r="BF735" s="77"/>
      <c r="BG735" s="77"/>
      <c r="BH735" s="77"/>
      <c r="BI735" s="77"/>
    </row>
    <row r="736" spans="1:61" x14ac:dyDescent="0.25">
      <c r="A736" s="62" t="s">
        <v>475</v>
      </c>
      <c r="B736" s="62" t="s">
        <v>475</v>
      </c>
      <c r="C736" s="63"/>
      <c r="D736" s="64"/>
      <c r="E736" s="65"/>
      <c r="F736" s="66"/>
      <c r="G736" s="63"/>
      <c r="H736" s="67"/>
      <c r="I736" s="68"/>
      <c r="J736" s="68"/>
      <c r="K736" s="32"/>
      <c r="L736" s="75">
        <v>736</v>
      </c>
      <c r="M736" s="75"/>
      <c r="N736" s="70"/>
      <c r="O736" s="77" t="s">
        <v>583</v>
      </c>
      <c r="P736" s="79">
        <v>44949.465914351851</v>
      </c>
      <c r="Q736" s="77" t="s">
        <v>1285</v>
      </c>
      <c r="R736" s="77">
        <v>0</v>
      </c>
      <c r="S736" s="77">
        <v>0</v>
      </c>
      <c r="T736" s="77">
        <v>0</v>
      </c>
      <c r="U736" s="77">
        <v>0</v>
      </c>
      <c r="V736" s="77">
        <v>7</v>
      </c>
      <c r="W736" s="82" t="s">
        <v>1947</v>
      </c>
      <c r="X736" s="77"/>
      <c r="Y736" s="77"/>
      <c r="Z736" s="77"/>
      <c r="AA736" s="77"/>
      <c r="AB736" s="77"/>
      <c r="AC736" s="82" t="s">
        <v>2720</v>
      </c>
      <c r="AD736" s="77" t="s">
        <v>2752</v>
      </c>
      <c r="AE736" s="80" t="str">
        <f>HYPERLINK("https://twitter.com/economedicos/status/1617479990869913601")</f>
        <v>https://twitter.com/economedicos/status/1617479990869913601</v>
      </c>
      <c r="AF736" s="79">
        <v>44949.465914351851</v>
      </c>
      <c r="AG736" s="85">
        <v>44949</v>
      </c>
      <c r="AH736" s="82" t="s">
        <v>3463</v>
      </c>
      <c r="AI736" s="77"/>
      <c r="AJ736" s="77"/>
      <c r="AK736" s="77"/>
      <c r="AL736" s="77"/>
      <c r="AM736" s="77"/>
      <c r="AN736" s="77"/>
      <c r="AO736" s="77"/>
      <c r="AP736" s="77"/>
      <c r="AQ736" s="77"/>
      <c r="AR736" s="77"/>
      <c r="AS736" s="77"/>
      <c r="AT736" s="77"/>
      <c r="AU736" s="77"/>
      <c r="AV736" s="80" t="str">
        <f>HYPERLINK("https://pbs.twimg.com/profile_images/1283576393662636034/EjgsMA_W_normal.jpg")</f>
        <v>https://pbs.twimg.com/profile_images/1283576393662636034/EjgsMA_W_normal.jpg</v>
      </c>
      <c r="AW736" s="82" t="s">
        <v>5069</v>
      </c>
      <c r="AX736" s="82" t="s">
        <v>5521</v>
      </c>
      <c r="AY736" s="82" t="s">
        <v>5605</v>
      </c>
      <c r="AZ736" s="82" t="s">
        <v>5801</v>
      </c>
      <c r="BA736" s="82" t="s">
        <v>5615</v>
      </c>
      <c r="BB736" s="82" t="s">
        <v>5615</v>
      </c>
      <c r="BC736" s="82" t="s">
        <v>5801</v>
      </c>
      <c r="BD736" s="82" t="s">
        <v>5605</v>
      </c>
      <c r="BE736" s="77"/>
      <c r="BF736" s="77"/>
      <c r="BG736" s="77"/>
      <c r="BH736" s="77"/>
      <c r="BI736" s="77"/>
    </row>
    <row r="737" spans="1:61" x14ac:dyDescent="0.25">
      <c r="A737" s="62" t="s">
        <v>475</v>
      </c>
      <c r="B737" s="62" t="s">
        <v>475</v>
      </c>
      <c r="C737" s="63"/>
      <c r="D737" s="64"/>
      <c r="E737" s="65"/>
      <c r="F737" s="66"/>
      <c r="G737" s="63"/>
      <c r="H737" s="67"/>
      <c r="I737" s="68"/>
      <c r="J737" s="68"/>
      <c r="K737" s="32"/>
      <c r="L737" s="75">
        <v>737</v>
      </c>
      <c r="M737" s="75"/>
      <c r="N737" s="70"/>
      <c r="O737" s="77" t="s">
        <v>583</v>
      </c>
      <c r="P737" s="79">
        <v>44946.450833333336</v>
      </c>
      <c r="Q737" s="77" t="s">
        <v>1286</v>
      </c>
      <c r="R737" s="77">
        <v>0</v>
      </c>
      <c r="S737" s="77">
        <v>0</v>
      </c>
      <c r="T737" s="77">
        <v>0</v>
      </c>
      <c r="U737" s="77">
        <v>0</v>
      </c>
      <c r="V737" s="77">
        <v>7</v>
      </c>
      <c r="W737" s="82" t="s">
        <v>1947</v>
      </c>
      <c r="X737" s="77"/>
      <c r="Y737" s="77"/>
      <c r="Z737" s="77"/>
      <c r="AA737" s="77"/>
      <c r="AB737" s="77"/>
      <c r="AC737" s="82" t="s">
        <v>2720</v>
      </c>
      <c r="AD737" s="77" t="s">
        <v>2752</v>
      </c>
      <c r="AE737" s="80" t="str">
        <f>HYPERLINK("https://twitter.com/economedicos/status/1616387360840712192")</f>
        <v>https://twitter.com/economedicos/status/1616387360840712192</v>
      </c>
      <c r="AF737" s="79">
        <v>44946.450833333336</v>
      </c>
      <c r="AG737" s="85">
        <v>44946</v>
      </c>
      <c r="AH737" s="82" t="s">
        <v>3486</v>
      </c>
      <c r="AI737" s="77"/>
      <c r="AJ737" s="77"/>
      <c r="AK737" s="77"/>
      <c r="AL737" s="77"/>
      <c r="AM737" s="77"/>
      <c r="AN737" s="77"/>
      <c r="AO737" s="77"/>
      <c r="AP737" s="77"/>
      <c r="AQ737" s="77"/>
      <c r="AR737" s="77"/>
      <c r="AS737" s="77"/>
      <c r="AT737" s="77"/>
      <c r="AU737" s="77"/>
      <c r="AV737" s="80" t="str">
        <f>HYPERLINK("https://pbs.twimg.com/profile_images/1283576393662636034/EjgsMA_W_normal.jpg")</f>
        <v>https://pbs.twimg.com/profile_images/1283576393662636034/EjgsMA_W_normal.jpg</v>
      </c>
      <c r="AW737" s="82" t="s">
        <v>5070</v>
      </c>
      <c r="AX737" s="82" t="s">
        <v>5522</v>
      </c>
      <c r="AY737" s="82" t="s">
        <v>5605</v>
      </c>
      <c r="AZ737" s="82" t="s">
        <v>5802</v>
      </c>
      <c r="BA737" s="82" t="s">
        <v>5615</v>
      </c>
      <c r="BB737" s="82" t="s">
        <v>5615</v>
      </c>
      <c r="BC737" s="82" t="s">
        <v>5802</v>
      </c>
      <c r="BD737" s="82" t="s">
        <v>5605</v>
      </c>
      <c r="BE737" s="77"/>
      <c r="BF737" s="77"/>
      <c r="BG737" s="77"/>
      <c r="BH737" s="77"/>
      <c r="BI737" s="77"/>
    </row>
    <row r="738" spans="1:61" x14ac:dyDescent="0.25">
      <c r="A738" s="62" t="s">
        <v>475</v>
      </c>
      <c r="B738" s="62" t="s">
        <v>475</v>
      </c>
      <c r="C738" s="63"/>
      <c r="D738" s="64"/>
      <c r="E738" s="65"/>
      <c r="F738" s="66"/>
      <c r="G738" s="63"/>
      <c r="H738" s="67"/>
      <c r="I738" s="68"/>
      <c r="J738" s="68"/>
      <c r="K738" s="32"/>
      <c r="L738" s="75">
        <v>738</v>
      </c>
      <c r="M738" s="75"/>
      <c r="N738" s="70"/>
      <c r="O738" s="77" t="s">
        <v>583</v>
      </c>
      <c r="P738" s="79">
        <v>45188.453761574077</v>
      </c>
      <c r="Q738" s="77" t="s">
        <v>1287</v>
      </c>
      <c r="R738" s="77">
        <v>0</v>
      </c>
      <c r="S738" s="77">
        <v>0</v>
      </c>
      <c r="T738" s="77">
        <v>0</v>
      </c>
      <c r="U738" s="77">
        <v>0</v>
      </c>
      <c r="V738" s="77">
        <v>8</v>
      </c>
      <c r="W738" s="82" t="s">
        <v>1947</v>
      </c>
      <c r="X738" s="77"/>
      <c r="Y738" s="77"/>
      <c r="Z738" s="77"/>
      <c r="AA738" s="77"/>
      <c r="AB738" s="77"/>
      <c r="AC738" s="82" t="s">
        <v>2720</v>
      </c>
      <c r="AD738" s="77" t="s">
        <v>2752</v>
      </c>
      <c r="AE738" s="80" t="str">
        <f>HYPERLINK("https://twitter.com/economedicos/status/1704086285428650221")</f>
        <v>https://twitter.com/economedicos/status/1704086285428650221</v>
      </c>
      <c r="AF738" s="79">
        <v>45188.453761574077</v>
      </c>
      <c r="AG738" s="85">
        <v>45188</v>
      </c>
      <c r="AH738" s="82" t="s">
        <v>3487</v>
      </c>
      <c r="AI738" s="77"/>
      <c r="AJ738" s="77"/>
      <c r="AK738" s="77"/>
      <c r="AL738" s="77"/>
      <c r="AM738" s="77"/>
      <c r="AN738" s="77"/>
      <c r="AO738" s="77"/>
      <c r="AP738" s="77"/>
      <c r="AQ738" s="77"/>
      <c r="AR738" s="77"/>
      <c r="AS738" s="77"/>
      <c r="AT738" s="77"/>
      <c r="AU738" s="77"/>
      <c r="AV738" s="80" t="str">
        <f>HYPERLINK("https://pbs.twimg.com/profile_images/1283576393662636034/EjgsMA_W_normal.jpg")</f>
        <v>https://pbs.twimg.com/profile_images/1283576393662636034/EjgsMA_W_normal.jpg</v>
      </c>
      <c r="AW738" s="82" t="s">
        <v>5071</v>
      </c>
      <c r="AX738" s="82" t="s">
        <v>5523</v>
      </c>
      <c r="AY738" s="82" t="s">
        <v>5605</v>
      </c>
      <c r="AZ738" s="82" t="s">
        <v>5803</v>
      </c>
      <c r="BA738" s="82" t="s">
        <v>5615</v>
      </c>
      <c r="BB738" s="82" t="s">
        <v>5615</v>
      </c>
      <c r="BC738" s="82" t="s">
        <v>5803</v>
      </c>
      <c r="BD738" s="82" t="s">
        <v>5605</v>
      </c>
      <c r="BE738" s="77"/>
      <c r="BF738" s="77"/>
      <c r="BG738" s="77"/>
      <c r="BH738" s="77"/>
      <c r="BI738" s="77"/>
    </row>
    <row r="739" spans="1:61" x14ac:dyDescent="0.25">
      <c r="A739" s="62" t="s">
        <v>475</v>
      </c>
      <c r="B739" s="62" t="s">
        <v>475</v>
      </c>
      <c r="C739" s="63"/>
      <c r="D739" s="64"/>
      <c r="E739" s="65"/>
      <c r="F739" s="66"/>
      <c r="G739" s="63"/>
      <c r="H739" s="67"/>
      <c r="I739" s="68"/>
      <c r="J739" s="68"/>
      <c r="K739" s="32"/>
      <c r="L739" s="75">
        <v>739</v>
      </c>
      <c r="M739" s="75"/>
      <c r="N739" s="70"/>
      <c r="O739" s="77" t="s">
        <v>583</v>
      </c>
      <c r="P739" s="79">
        <v>45182.467858796299</v>
      </c>
      <c r="Q739" s="77" t="s">
        <v>1288</v>
      </c>
      <c r="R739" s="77">
        <v>0</v>
      </c>
      <c r="S739" s="77">
        <v>0</v>
      </c>
      <c r="T739" s="77">
        <v>0</v>
      </c>
      <c r="U739" s="77">
        <v>0</v>
      </c>
      <c r="V739" s="77">
        <v>20</v>
      </c>
      <c r="W739" s="82" t="s">
        <v>1947</v>
      </c>
      <c r="X739" s="77"/>
      <c r="Y739" s="77"/>
      <c r="Z739" s="77"/>
      <c r="AA739" s="77"/>
      <c r="AB739" s="77"/>
      <c r="AC739" s="82" t="s">
        <v>2720</v>
      </c>
      <c r="AD739" s="77" t="s">
        <v>2752</v>
      </c>
      <c r="AE739" s="80" t="str">
        <f>HYPERLINK("https://twitter.com/economedicos/status/1701917067698450628")</f>
        <v>https://twitter.com/economedicos/status/1701917067698450628</v>
      </c>
      <c r="AF739" s="79">
        <v>45182.467858796299</v>
      </c>
      <c r="AG739" s="85">
        <v>45182</v>
      </c>
      <c r="AH739" s="82" t="s">
        <v>3488</v>
      </c>
      <c r="AI739" s="77"/>
      <c r="AJ739" s="77"/>
      <c r="AK739" s="77"/>
      <c r="AL739" s="77"/>
      <c r="AM739" s="77"/>
      <c r="AN739" s="77"/>
      <c r="AO739" s="77"/>
      <c r="AP739" s="77"/>
      <c r="AQ739" s="77"/>
      <c r="AR739" s="77"/>
      <c r="AS739" s="77"/>
      <c r="AT739" s="77"/>
      <c r="AU739" s="77"/>
      <c r="AV739" s="80" t="str">
        <f>HYPERLINK("https://pbs.twimg.com/profile_images/1283576393662636034/EjgsMA_W_normal.jpg")</f>
        <v>https://pbs.twimg.com/profile_images/1283576393662636034/EjgsMA_W_normal.jpg</v>
      </c>
      <c r="AW739" s="82" t="s">
        <v>5072</v>
      </c>
      <c r="AX739" s="82" t="s">
        <v>5524</v>
      </c>
      <c r="AY739" s="82" t="s">
        <v>5605</v>
      </c>
      <c r="AZ739" s="82" t="s">
        <v>5804</v>
      </c>
      <c r="BA739" s="82" t="s">
        <v>5615</v>
      </c>
      <c r="BB739" s="82" t="s">
        <v>5615</v>
      </c>
      <c r="BC739" s="82" t="s">
        <v>5804</v>
      </c>
      <c r="BD739" s="82" t="s">
        <v>5605</v>
      </c>
      <c r="BE739" s="77"/>
      <c r="BF739" s="77"/>
      <c r="BG739" s="77"/>
      <c r="BH739" s="77"/>
      <c r="BI739" s="77"/>
    </row>
    <row r="740" spans="1:61" x14ac:dyDescent="0.25">
      <c r="A740" s="62" t="s">
        <v>475</v>
      </c>
      <c r="B740" s="62" t="s">
        <v>475</v>
      </c>
      <c r="C740" s="63"/>
      <c r="D740" s="64"/>
      <c r="E740" s="65"/>
      <c r="F740" s="66"/>
      <c r="G740" s="63"/>
      <c r="H740" s="67"/>
      <c r="I740" s="68"/>
      <c r="J740" s="68"/>
      <c r="K740" s="32"/>
      <c r="L740" s="75">
        <v>740</v>
      </c>
      <c r="M740" s="75"/>
      <c r="N740" s="70"/>
      <c r="O740" s="77" t="s">
        <v>583</v>
      </c>
      <c r="P740" s="79">
        <v>45181.471134259256</v>
      </c>
      <c r="Q740" s="77" t="s">
        <v>1289</v>
      </c>
      <c r="R740" s="77">
        <v>0</v>
      </c>
      <c r="S740" s="77">
        <v>0</v>
      </c>
      <c r="T740" s="77">
        <v>0</v>
      </c>
      <c r="U740" s="77">
        <v>0</v>
      </c>
      <c r="V740" s="77">
        <v>13</v>
      </c>
      <c r="W740" s="82" t="s">
        <v>1947</v>
      </c>
      <c r="X740" s="77"/>
      <c r="Y740" s="77"/>
      <c r="Z740" s="77"/>
      <c r="AA740" s="77"/>
      <c r="AB740" s="77"/>
      <c r="AC740" s="82" t="s">
        <v>2720</v>
      </c>
      <c r="AD740" s="77" t="s">
        <v>2752</v>
      </c>
      <c r="AE740" s="80" t="str">
        <f>HYPERLINK("https://twitter.com/economedicos/status/1701555865596150198")</f>
        <v>https://twitter.com/economedicos/status/1701555865596150198</v>
      </c>
      <c r="AF740" s="79">
        <v>45181.471134259256</v>
      </c>
      <c r="AG740" s="85">
        <v>45181</v>
      </c>
      <c r="AH740" s="82" t="s">
        <v>3489</v>
      </c>
      <c r="AI740" s="77"/>
      <c r="AJ740" s="77"/>
      <c r="AK740" s="77"/>
      <c r="AL740" s="77"/>
      <c r="AM740" s="77"/>
      <c r="AN740" s="77"/>
      <c r="AO740" s="77"/>
      <c r="AP740" s="77"/>
      <c r="AQ740" s="77"/>
      <c r="AR740" s="77"/>
      <c r="AS740" s="77"/>
      <c r="AT740" s="77"/>
      <c r="AU740" s="77"/>
      <c r="AV740" s="80" t="str">
        <f>HYPERLINK("https://pbs.twimg.com/profile_images/1283576393662636034/EjgsMA_W_normal.jpg")</f>
        <v>https://pbs.twimg.com/profile_images/1283576393662636034/EjgsMA_W_normal.jpg</v>
      </c>
      <c r="AW740" s="82" t="s">
        <v>5073</v>
      </c>
      <c r="AX740" s="82" t="s">
        <v>5525</v>
      </c>
      <c r="AY740" s="82" t="s">
        <v>5605</v>
      </c>
      <c r="AZ740" s="82" t="s">
        <v>5805</v>
      </c>
      <c r="BA740" s="82" t="s">
        <v>5615</v>
      </c>
      <c r="BB740" s="82" t="s">
        <v>5615</v>
      </c>
      <c r="BC740" s="82" t="s">
        <v>5805</v>
      </c>
      <c r="BD740" s="82" t="s">
        <v>5605</v>
      </c>
      <c r="BE740" s="77"/>
      <c r="BF740" s="77"/>
      <c r="BG740" s="77"/>
      <c r="BH740" s="77"/>
      <c r="BI740" s="77"/>
    </row>
    <row r="741" spans="1:61" x14ac:dyDescent="0.25">
      <c r="A741" s="62" t="s">
        <v>475</v>
      </c>
      <c r="B741" s="62" t="s">
        <v>475</v>
      </c>
      <c r="C741" s="63"/>
      <c r="D741" s="64"/>
      <c r="E741" s="65"/>
      <c r="F741" s="66"/>
      <c r="G741" s="63"/>
      <c r="H741" s="67"/>
      <c r="I741" s="68"/>
      <c r="J741" s="68"/>
      <c r="K741" s="32"/>
      <c r="L741" s="75">
        <v>741</v>
      </c>
      <c r="M741" s="75"/>
      <c r="N741" s="70"/>
      <c r="O741" s="77" t="s">
        <v>583</v>
      </c>
      <c r="P741" s="79">
        <v>45180.479907407411</v>
      </c>
      <c r="Q741" s="77" t="s">
        <v>1290</v>
      </c>
      <c r="R741" s="77">
        <v>0</v>
      </c>
      <c r="S741" s="77">
        <v>0</v>
      </c>
      <c r="T741" s="77">
        <v>0</v>
      </c>
      <c r="U741" s="77">
        <v>0</v>
      </c>
      <c r="V741" s="77">
        <v>16</v>
      </c>
      <c r="W741" s="82" t="s">
        <v>1947</v>
      </c>
      <c r="X741" s="77"/>
      <c r="Y741" s="77"/>
      <c r="Z741" s="77"/>
      <c r="AA741" s="77"/>
      <c r="AB741" s="77"/>
      <c r="AC741" s="82" t="s">
        <v>2720</v>
      </c>
      <c r="AD741" s="77" t="s">
        <v>2752</v>
      </c>
      <c r="AE741" s="80" t="str">
        <f>HYPERLINK("https://twitter.com/economedicos/status/1701196657059131475")</f>
        <v>https://twitter.com/economedicos/status/1701196657059131475</v>
      </c>
      <c r="AF741" s="79">
        <v>45180.479907407411</v>
      </c>
      <c r="AG741" s="85">
        <v>45180</v>
      </c>
      <c r="AH741" s="82" t="s">
        <v>3490</v>
      </c>
      <c r="AI741" s="77"/>
      <c r="AJ741" s="77"/>
      <c r="AK741" s="77"/>
      <c r="AL741" s="77"/>
      <c r="AM741" s="77"/>
      <c r="AN741" s="77"/>
      <c r="AO741" s="77"/>
      <c r="AP741" s="77"/>
      <c r="AQ741" s="77"/>
      <c r="AR741" s="77"/>
      <c r="AS741" s="77"/>
      <c r="AT741" s="77"/>
      <c r="AU741" s="77"/>
      <c r="AV741" s="80" t="str">
        <f>HYPERLINK("https://pbs.twimg.com/profile_images/1283576393662636034/EjgsMA_W_normal.jpg")</f>
        <v>https://pbs.twimg.com/profile_images/1283576393662636034/EjgsMA_W_normal.jpg</v>
      </c>
      <c r="AW741" s="82" t="s">
        <v>5074</v>
      </c>
      <c r="AX741" s="82" t="s">
        <v>5526</v>
      </c>
      <c r="AY741" s="82" t="s">
        <v>5605</v>
      </c>
      <c r="AZ741" s="82" t="s">
        <v>5806</v>
      </c>
      <c r="BA741" s="82" t="s">
        <v>5615</v>
      </c>
      <c r="BB741" s="82" t="s">
        <v>5615</v>
      </c>
      <c r="BC741" s="82" t="s">
        <v>5806</v>
      </c>
      <c r="BD741" s="82" t="s">
        <v>5605</v>
      </c>
      <c r="BE741" s="77"/>
      <c r="BF741" s="77"/>
      <c r="BG741" s="77"/>
      <c r="BH741" s="77"/>
      <c r="BI741" s="77"/>
    </row>
    <row r="742" spans="1:61" x14ac:dyDescent="0.25">
      <c r="A742" s="62" t="s">
        <v>475</v>
      </c>
      <c r="B742" s="62" t="s">
        <v>475</v>
      </c>
      <c r="C742" s="63"/>
      <c r="D742" s="64"/>
      <c r="E742" s="65"/>
      <c r="F742" s="66"/>
      <c r="G742" s="63"/>
      <c r="H742" s="67"/>
      <c r="I742" s="68"/>
      <c r="J742" s="68"/>
      <c r="K742" s="32"/>
      <c r="L742" s="75">
        <v>742</v>
      </c>
      <c r="M742" s="75"/>
      <c r="N742" s="70"/>
      <c r="O742" s="77" t="s">
        <v>583</v>
      </c>
      <c r="P742" s="79">
        <v>45163.421585648146</v>
      </c>
      <c r="Q742" s="77" t="s">
        <v>1291</v>
      </c>
      <c r="R742" s="77">
        <v>0</v>
      </c>
      <c r="S742" s="77">
        <v>0</v>
      </c>
      <c r="T742" s="77">
        <v>0</v>
      </c>
      <c r="U742" s="77">
        <v>0</v>
      </c>
      <c r="V742" s="77">
        <v>20</v>
      </c>
      <c r="W742" s="82" t="s">
        <v>1947</v>
      </c>
      <c r="X742" s="77"/>
      <c r="Y742" s="77"/>
      <c r="Z742" s="77"/>
      <c r="AA742" s="77"/>
      <c r="AB742" s="77"/>
      <c r="AC742" s="82" t="s">
        <v>2720</v>
      </c>
      <c r="AD742" s="77" t="s">
        <v>2752</v>
      </c>
      <c r="AE742" s="80" t="str">
        <f>HYPERLINK("https://twitter.com/economedicos/status/1695014926836740383")</f>
        <v>https://twitter.com/economedicos/status/1695014926836740383</v>
      </c>
      <c r="AF742" s="79">
        <v>45163.421585648146</v>
      </c>
      <c r="AG742" s="85">
        <v>45163</v>
      </c>
      <c r="AH742" s="82" t="s">
        <v>3491</v>
      </c>
      <c r="AI742" s="77"/>
      <c r="AJ742" s="77"/>
      <c r="AK742" s="77"/>
      <c r="AL742" s="77"/>
      <c r="AM742" s="77"/>
      <c r="AN742" s="77"/>
      <c r="AO742" s="77"/>
      <c r="AP742" s="77"/>
      <c r="AQ742" s="77"/>
      <c r="AR742" s="77"/>
      <c r="AS742" s="77"/>
      <c r="AT742" s="77"/>
      <c r="AU742" s="77"/>
      <c r="AV742" s="80" t="str">
        <f>HYPERLINK("https://pbs.twimg.com/profile_images/1283576393662636034/EjgsMA_W_normal.jpg")</f>
        <v>https://pbs.twimg.com/profile_images/1283576393662636034/EjgsMA_W_normal.jpg</v>
      </c>
      <c r="AW742" s="82" t="s">
        <v>5075</v>
      </c>
      <c r="AX742" s="82" t="s">
        <v>5527</v>
      </c>
      <c r="AY742" s="82" t="s">
        <v>5605</v>
      </c>
      <c r="AZ742" s="82" t="s">
        <v>5807</v>
      </c>
      <c r="BA742" s="82" t="s">
        <v>5615</v>
      </c>
      <c r="BB742" s="82" t="s">
        <v>5615</v>
      </c>
      <c r="BC742" s="82" t="s">
        <v>5807</v>
      </c>
      <c r="BD742" s="82" t="s">
        <v>5605</v>
      </c>
      <c r="BE742" s="77"/>
      <c r="BF742" s="77"/>
      <c r="BG742" s="77"/>
      <c r="BH742" s="77"/>
      <c r="BI742" s="77"/>
    </row>
    <row r="743" spans="1:61" x14ac:dyDescent="0.25">
      <c r="A743" s="62" t="s">
        <v>475</v>
      </c>
      <c r="B743" s="62" t="s">
        <v>475</v>
      </c>
      <c r="C743" s="63"/>
      <c r="D743" s="64"/>
      <c r="E743" s="65"/>
      <c r="F743" s="66"/>
      <c r="G743" s="63"/>
      <c r="H743" s="67"/>
      <c r="I743" s="68"/>
      <c r="J743" s="68"/>
      <c r="K743" s="32"/>
      <c r="L743" s="75">
        <v>743</v>
      </c>
      <c r="M743" s="75"/>
      <c r="N743" s="70"/>
      <c r="O743" s="77" t="s">
        <v>583</v>
      </c>
      <c r="P743" s="79">
        <v>45154.476481481484</v>
      </c>
      <c r="Q743" s="77" t="s">
        <v>1292</v>
      </c>
      <c r="R743" s="77">
        <v>0</v>
      </c>
      <c r="S743" s="77">
        <v>0</v>
      </c>
      <c r="T743" s="77">
        <v>0</v>
      </c>
      <c r="U743" s="77">
        <v>0</v>
      </c>
      <c r="V743" s="77">
        <v>12</v>
      </c>
      <c r="W743" s="82" t="s">
        <v>1947</v>
      </c>
      <c r="X743" s="77"/>
      <c r="Y743" s="77"/>
      <c r="Z743" s="77"/>
      <c r="AA743" s="77"/>
      <c r="AB743" s="77"/>
      <c r="AC743" s="82" t="s">
        <v>2720</v>
      </c>
      <c r="AD743" s="77" t="s">
        <v>2752</v>
      </c>
      <c r="AE743" s="80" t="str">
        <f>HYPERLINK("https://twitter.com/economedicos/status/1691773329403679102")</f>
        <v>https://twitter.com/economedicos/status/1691773329403679102</v>
      </c>
      <c r="AF743" s="79">
        <v>45154.476481481484</v>
      </c>
      <c r="AG743" s="85">
        <v>45154</v>
      </c>
      <c r="AH743" s="82" t="s">
        <v>3492</v>
      </c>
      <c r="AI743" s="77"/>
      <c r="AJ743" s="77"/>
      <c r="AK743" s="77"/>
      <c r="AL743" s="77"/>
      <c r="AM743" s="77"/>
      <c r="AN743" s="77"/>
      <c r="AO743" s="77"/>
      <c r="AP743" s="77"/>
      <c r="AQ743" s="77"/>
      <c r="AR743" s="77"/>
      <c r="AS743" s="77"/>
      <c r="AT743" s="77"/>
      <c r="AU743" s="77"/>
      <c r="AV743" s="80" t="str">
        <f>HYPERLINK("https://pbs.twimg.com/profile_images/1283576393662636034/EjgsMA_W_normal.jpg")</f>
        <v>https://pbs.twimg.com/profile_images/1283576393662636034/EjgsMA_W_normal.jpg</v>
      </c>
      <c r="AW743" s="82" t="s">
        <v>5076</v>
      </c>
      <c r="AX743" s="82" t="s">
        <v>5528</v>
      </c>
      <c r="AY743" s="82" t="s">
        <v>5605</v>
      </c>
      <c r="AZ743" s="82" t="s">
        <v>5808</v>
      </c>
      <c r="BA743" s="82" t="s">
        <v>5615</v>
      </c>
      <c r="BB743" s="82" t="s">
        <v>5615</v>
      </c>
      <c r="BC743" s="82" t="s">
        <v>5808</v>
      </c>
      <c r="BD743" s="82" t="s">
        <v>5605</v>
      </c>
      <c r="BE743" s="77"/>
      <c r="BF743" s="77"/>
      <c r="BG743" s="77"/>
      <c r="BH743" s="77"/>
      <c r="BI743" s="77"/>
    </row>
    <row r="744" spans="1:61" x14ac:dyDescent="0.25">
      <c r="A744" s="62" t="s">
        <v>475</v>
      </c>
      <c r="B744" s="62" t="s">
        <v>475</v>
      </c>
      <c r="C744" s="63"/>
      <c r="D744" s="64"/>
      <c r="E744" s="65"/>
      <c r="F744" s="66"/>
      <c r="G744" s="63"/>
      <c r="H744" s="67"/>
      <c r="I744" s="68"/>
      <c r="J744" s="68"/>
      <c r="K744" s="32"/>
      <c r="L744" s="75">
        <v>744</v>
      </c>
      <c r="M744" s="75"/>
      <c r="N744" s="70"/>
      <c r="O744" s="77" t="s">
        <v>583</v>
      </c>
      <c r="P744" s="79">
        <v>45153.447199074071</v>
      </c>
      <c r="Q744" s="77" t="s">
        <v>1293</v>
      </c>
      <c r="R744" s="77">
        <v>0</v>
      </c>
      <c r="S744" s="77">
        <v>0</v>
      </c>
      <c r="T744" s="77">
        <v>0</v>
      </c>
      <c r="U744" s="77">
        <v>0</v>
      </c>
      <c r="V744" s="77">
        <v>6</v>
      </c>
      <c r="W744" s="82" t="s">
        <v>1947</v>
      </c>
      <c r="X744" s="77"/>
      <c r="Y744" s="77"/>
      <c r="Z744" s="77"/>
      <c r="AA744" s="77"/>
      <c r="AB744" s="77"/>
      <c r="AC744" s="82" t="s">
        <v>2720</v>
      </c>
      <c r="AD744" s="77" t="s">
        <v>2752</v>
      </c>
      <c r="AE744" s="80" t="str">
        <f>HYPERLINK("https://twitter.com/economedicos/status/1691400332952182784")</f>
        <v>https://twitter.com/economedicos/status/1691400332952182784</v>
      </c>
      <c r="AF744" s="79">
        <v>45153.447199074071</v>
      </c>
      <c r="AG744" s="85">
        <v>45153</v>
      </c>
      <c r="AH744" s="82" t="s">
        <v>3493</v>
      </c>
      <c r="AI744" s="77"/>
      <c r="AJ744" s="77"/>
      <c r="AK744" s="77"/>
      <c r="AL744" s="77"/>
      <c r="AM744" s="77"/>
      <c r="AN744" s="77"/>
      <c r="AO744" s="77"/>
      <c r="AP744" s="77"/>
      <c r="AQ744" s="77"/>
      <c r="AR744" s="77"/>
      <c r="AS744" s="77"/>
      <c r="AT744" s="77"/>
      <c r="AU744" s="77"/>
      <c r="AV744" s="80" t="str">
        <f>HYPERLINK("https://pbs.twimg.com/profile_images/1283576393662636034/EjgsMA_W_normal.jpg")</f>
        <v>https://pbs.twimg.com/profile_images/1283576393662636034/EjgsMA_W_normal.jpg</v>
      </c>
      <c r="AW744" s="82" t="s">
        <v>5077</v>
      </c>
      <c r="AX744" s="82" t="s">
        <v>5529</v>
      </c>
      <c r="AY744" s="82" t="s">
        <v>5605</v>
      </c>
      <c r="AZ744" s="82" t="s">
        <v>5809</v>
      </c>
      <c r="BA744" s="82" t="s">
        <v>5615</v>
      </c>
      <c r="BB744" s="82" t="s">
        <v>5615</v>
      </c>
      <c r="BC744" s="82" t="s">
        <v>5809</v>
      </c>
      <c r="BD744" s="82" t="s">
        <v>5605</v>
      </c>
      <c r="BE744" s="77"/>
      <c r="BF744" s="77"/>
      <c r="BG744" s="77"/>
      <c r="BH744" s="77"/>
      <c r="BI744" s="77"/>
    </row>
    <row r="745" spans="1:61" x14ac:dyDescent="0.25">
      <c r="A745" s="62" t="s">
        <v>475</v>
      </c>
      <c r="B745" s="62" t="s">
        <v>475</v>
      </c>
      <c r="C745" s="63"/>
      <c r="D745" s="64"/>
      <c r="E745" s="65"/>
      <c r="F745" s="66"/>
      <c r="G745" s="63"/>
      <c r="H745" s="67"/>
      <c r="I745" s="68"/>
      <c r="J745" s="68"/>
      <c r="K745" s="32"/>
      <c r="L745" s="75">
        <v>745</v>
      </c>
      <c r="M745" s="75"/>
      <c r="N745" s="70"/>
      <c r="O745" s="77" t="s">
        <v>583</v>
      </c>
      <c r="P745" s="79">
        <v>45149.451319444444</v>
      </c>
      <c r="Q745" s="77" t="s">
        <v>1294</v>
      </c>
      <c r="R745" s="77">
        <v>0</v>
      </c>
      <c r="S745" s="77">
        <v>0</v>
      </c>
      <c r="T745" s="77">
        <v>0</v>
      </c>
      <c r="U745" s="77">
        <v>0</v>
      </c>
      <c r="V745" s="77">
        <v>8</v>
      </c>
      <c r="W745" s="82" t="s">
        <v>1947</v>
      </c>
      <c r="X745" s="77"/>
      <c r="Y745" s="77"/>
      <c r="Z745" s="77"/>
      <c r="AA745" s="77"/>
      <c r="AB745" s="77"/>
      <c r="AC745" s="82" t="s">
        <v>2720</v>
      </c>
      <c r="AD745" s="77" t="s">
        <v>2752</v>
      </c>
      <c r="AE745" s="80" t="str">
        <f>HYPERLINK("https://twitter.com/economedicos/status/1689952272036311041")</f>
        <v>https://twitter.com/economedicos/status/1689952272036311041</v>
      </c>
      <c r="AF745" s="79">
        <v>45149.451319444444</v>
      </c>
      <c r="AG745" s="85">
        <v>45149</v>
      </c>
      <c r="AH745" s="82" t="s">
        <v>3494</v>
      </c>
      <c r="AI745" s="77"/>
      <c r="AJ745" s="77"/>
      <c r="AK745" s="77"/>
      <c r="AL745" s="77"/>
      <c r="AM745" s="77"/>
      <c r="AN745" s="77"/>
      <c r="AO745" s="77"/>
      <c r="AP745" s="77"/>
      <c r="AQ745" s="77"/>
      <c r="AR745" s="77"/>
      <c r="AS745" s="77"/>
      <c r="AT745" s="77"/>
      <c r="AU745" s="77"/>
      <c r="AV745" s="80" t="str">
        <f>HYPERLINK("https://pbs.twimg.com/profile_images/1283576393662636034/EjgsMA_W_normal.jpg")</f>
        <v>https://pbs.twimg.com/profile_images/1283576393662636034/EjgsMA_W_normal.jpg</v>
      </c>
      <c r="AW745" s="82" t="s">
        <v>5078</v>
      </c>
      <c r="AX745" s="82" t="s">
        <v>5530</v>
      </c>
      <c r="AY745" s="82" t="s">
        <v>5605</v>
      </c>
      <c r="AZ745" s="82" t="s">
        <v>5810</v>
      </c>
      <c r="BA745" s="82" t="s">
        <v>5615</v>
      </c>
      <c r="BB745" s="82" t="s">
        <v>5615</v>
      </c>
      <c r="BC745" s="82" t="s">
        <v>5810</v>
      </c>
      <c r="BD745" s="82" t="s">
        <v>5605</v>
      </c>
      <c r="BE745" s="77"/>
      <c r="BF745" s="77"/>
      <c r="BG745" s="77"/>
      <c r="BH745" s="77"/>
      <c r="BI745" s="77"/>
    </row>
    <row r="746" spans="1:61" x14ac:dyDescent="0.25">
      <c r="A746" s="62" t="s">
        <v>475</v>
      </c>
      <c r="B746" s="62" t="s">
        <v>475</v>
      </c>
      <c r="C746" s="63"/>
      <c r="D746" s="64"/>
      <c r="E746" s="65"/>
      <c r="F746" s="66"/>
      <c r="G746" s="63"/>
      <c r="H746" s="67"/>
      <c r="I746" s="68"/>
      <c r="J746" s="68"/>
      <c r="K746" s="32"/>
      <c r="L746" s="75">
        <v>746</v>
      </c>
      <c r="M746" s="75"/>
      <c r="N746" s="70"/>
      <c r="O746" s="77" t="s">
        <v>583</v>
      </c>
      <c r="P746" s="79">
        <v>45189.457986111112</v>
      </c>
      <c r="Q746" s="77" t="s">
        <v>1295</v>
      </c>
      <c r="R746" s="77">
        <v>0</v>
      </c>
      <c r="S746" s="77">
        <v>0</v>
      </c>
      <c r="T746" s="77">
        <v>0</v>
      </c>
      <c r="U746" s="77">
        <v>0</v>
      </c>
      <c r="V746" s="77">
        <v>6</v>
      </c>
      <c r="W746" s="82" t="s">
        <v>1947</v>
      </c>
      <c r="X746" s="77"/>
      <c r="Y746" s="77"/>
      <c r="Z746" s="77"/>
      <c r="AA746" s="77"/>
      <c r="AB746" s="77"/>
      <c r="AC746" s="82" t="s">
        <v>2720</v>
      </c>
      <c r="AD746" s="77" t="s">
        <v>2752</v>
      </c>
      <c r="AE746" s="80" t="str">
        <f>HYPERLINK("https://twitter.com/economedicos/status/1704450204462678093")</f>
        <v>https://twitter.com/economedicos/status/1704450204462678093</v>
      </c>
      <c r="AF746" s="79">
        <v>45189.457986111112</v>
      </c>
      <c r="AG746" s="85">
        <v>45189</v>
      </c>
      <c r="AH746" s="82" t="s">
        <v>3495</v>
      </c>
      <c r="AI746" s="77"/>
      <c r="AJ746" s="77"/>
      <c r="AK746" s="77"/>
      <c r="AL746" s="77"/>
      <c r="AM746" s="77"/>
      <c r="AN746" s="77"/>
      <c r="AO746" s="77"/>
      <c r="AP746" s="77"/>
      <c r="AQ746" s="77"/>
      <c r="AR746" s="77"/>
      <c r="AS746" s="77"/>
      <c r="AT746" s="77"/>
      <c r="AU746" s="77"/>
      <c r="AV746" s="80" t="str">
        <f>HYPERLINK("https://pbs.twimg.com/profile_images/1283576393662636034/EjgsMA_W_normal.jpg")</f>
        <v>https://pbs.twimg.com/profile_images/1283576393662636034/EjgsMA_W_normal.jpg</v>
      </c>
      <c r="AW746" s="82" t="s">
        <v>5079</v>
      </c>
      <c r="AX746" s="82" t="s">
        <v>5531</v>
      </c>
      <c r="AY746" s="82" t="s">
        <v>5605</v>
      </c>
      <c r="AZ746" s="82" t="s">
        <v>5811</v>
      </c>
      <c r="BA746" s="82" t="s">
        <v>5615</v>
      </c>
      <c r="BB746" s="82" t="s">
        <v>5615</v>
      </c>
      <c r="BC746" s="82" t="s">
        <v>5811</v>
      </c>
      <c r="BD746" s="82" t="s">
        <v>5605</v>
      </c>
      <c r="BE746" s="77"/>
      <c r="BF746" s="77"/>
      <c r="BG746" s="77"/>
      <c r="BH746" s="77"/>
      <c r="BI746" s="77"/>
    </row>
    <row r="747" spans="1:61" x14ac:dyDescent="0.25">
      <c r="A747" s="62" t="s">
        <v>475</v>
      </c>
      <c r="B747" s="62" t="s">
        <v>475</v>
      </c>
      <c r="C747" s="63"/>
      <c r="D747" s="64"/>
      <c r="E747" s="65"/>
      <c r="F747" s="66"/>
      <c r="G747" s="63"/>
      <c r="H747" s="67"/>
      <c r="I747" s="68"/>
      <c r="J747" s="68"/>
      <c r="K747" s="32"/>
      <c r="L747" s="75">
        <v>747</v>
      </c>
      <c r="M747" s="75"/>
      <c r="N747" s="70"/>
      <c r="O747" s="77" t="s">
        <v>583</v>
      </c>
      <c r="P747" s="79">
        <v>45187.460555555554</v>
      </c>
      <c r="Q747" s="77" t="s">
        <v>1296</v>
      </c>
      <c r="R747" s="77">
        <v>0</v>
      </c>
      <c r="S747" s="77">
        <v>0</v>
      </c>
      <c r="T747" s="77">
        <v>0</v>
      </c>
      <c r="U747" s="77">
        <v>0</v>
      </c>
      <c r="V747" s="77">
        <v>21</v>
      </c>
      <c r="W747" s="82" t="s">
        <v>1947</v>
      </c>
      <c r="X747" s="77"/>
      <c r="Y747" s="77"/>
      <c r="Z747" s="77"/>
      <c r="AA747" s="77"/>
      <c r="AB747" s="77"/>
      <c r="AC747" s="82" t="s">
        <v>2720</v>
      </c>
      <c r="AD747" s="77" t="s">
        <v>2752</v>
      </c>
      <c r="AE747" s="80" t="str">
        <f>HYPERLINK("https://twitter.com/economedicos/status/1703726359619498435")</f>
        <v>https://twitter.com/economedicos/status/1703726359619498435</v>
      </c>
      <c r="AF747" s="79">
        <v>45187.460555555554</v>
      </c>
      <c r="AG747" s="85">
        <v>45187</v>
      </c>
      <c r="AH747" s="82" t="s">
        <v>3496</v>
      </c>
      <c r="AI747" s="77"/>
      <c r="AJ747" s="77"/>
      <c r="AK747" s="77"/>
      <c r="AL747" s="77"/>
      <c r="AM747" s="77"/>
      <c r="AN747" s="77"/>
      <c r="AO747" s="77"/>
      <c r="AP747" s="77"/>
      <c r="AQ747" s="77"/>
      <c r="AR747" s="77"/>
      <c r="AS747" s="77"/>
      <c r="AT747" s="77"/>
      <c r="AU747" s="77"/>
      <c r="AV747" s="80" t="str">
        <f>HYPERLINK("https://pbs.twimg.com/profile_images/1283576393662636034/EjgsMA_W_normal.jpg")</f>
        <v>https://pbs.twimg.com/profile_images/1283576393662636034/EjgsMA_W_normal.jpg</v>
      </c>
      <c r="AW747" s="82" t="s">
        <v>5080</v>
      </c>
      <c r="AX747" s="82" t="s">
        <v>5532</v>
      </c>
      <c r="AY747" s="82" t="s">
        <v>5605</v>
      </c>
      <c r="AZ747" s="82" t="s">
        <v>5812</v>
      </c>
      <c r="BA747" s="82" t="s">
        <v>5615</v>
      </c>
      <c r="BB747" s="82" t="s">
        <v>5615</v>
      </c>
      <c r="BC747" s="82" t="s">
        <v>5812</v>
      </c>
      <c r="BD747" s="82" t="s">
        <v>5605</v>
      </c>
      <c r="BE747" s="77"/>
      <c r="BF747" s="77"/>
      <c r="BG747" s="77"/>
      <c r="BH747" s="77"/>
      <c r="BI747" s="77"/>
    </row>
    <row r="748" spans="1:61" x14ac:dyDescent="0.25">
      <c r="A748" s="62" t="s">
        <v>475</v>
      </c>
      <c r="B748" s="62" t="s">
        <v>475</v>
      </c>
      <c r="C748" s="63"/>
      <c r="D748" s="64"/>
      <c r="E748" s="65"/>
      <c r="F748" s="66"/>
      <c r="G748" s="63"/>
      <c r="H748" s="67"/>
      <c r="I748" s="68"/>
      <c r="J748" s="68"/>
      <c r="K748" s="32"/>
      <c r="L748" s="75">
        <v>748</v>
      </c>
      <c r="M748" s="75"/>
      <c r="N748" s="70"/>
      <c r="O748" s="77" t="s">
        <v>583</v>
      </c>
      <c r="P748" s="79">
        <v>45174.429479166669</v>
      </c>
      <c r="Q748" s="77" t="s">
        <v>1297</v>
      </c>
      <c r="R748" s="77">
        <v>0</v>
      </c>
      <c r="S748" s="77">
        <v>0</v>
      </c>
      <c r="T748" s="77">
        <v>0</v>
      </c>
      <c r="U748" s="77">
        <v>0</v>
      </c>
      <c r="V748" s="77">
        <v>14</v>
      </c>
      <c r="W748" s="82" t="s">
        <v>1947</v>
      </c>
      <c r="X748" s="77"/>
      <c r="Y748" s="77"/>
      <c r="Z748" s="77"/>
      <c r="AA748" s="77"/>
      <c r="AB748" s="77"/>
      <c r="AC748" s="82" t="s">
        <v>2720</v>
      </c>
      <c r="AD748" s="77" t="s">
        <v>2752</v>
      </c>
      <c r="AE748" s="80" t="str">
        <f>HYPERLINK("https://twitter.com/economedicos/status/1699004054465020379")</f>
        <v>https://twitter.com/economedicos/status/1699004054465020379</v>
      </c>
      <c r="AF748" s="79">
        <v>45174.429479166669</v>
      </c>
      <c r="AG748" s="85">
        <v>45174</v>
      </c>
      <c r="AH748" s="82" t="s">
        <v>3497</v>
      </c>
      <c r="AI748" s="77"/>
      <c r="AJ748" s="77"/>
      <c r="AK748" s="77"/>
      <c r="AL748" s="77"/>
      <c r="AM748" s="77"/>
      <c r="AN748" s="77"/>
      <c r="AO748" s="77"/>
      <c r="AP748" s="77"/>
      <c r="AQ748" s="77"/>
      <c r="AR748" s="77"/>
      <c r="AS748" s="77"/>
      <c r="AT748" s="77"/>
      <c r="AU748" s="77"/>
      <c r="AV748" s="80" t="str">
        <f>HYPERLINK("https://pbs.twimg.com/profile_images/1283576393662636034/EjgsMA_W_normal.jpg")</f>
        <v>https://pbs.twimg.com/profile_images/1283576393662636034/EjgsMA_W_normal.jpg</v>
      </c>
      <c r="AW748" s="82" t="s">
        <v>5081</v>
      </c>
      <c r="AX748" s="82" t="s">
        <v>5533</v>
      </c>
      <c r="AY748" s="82" t="s">
        <v>5605</v>
      </c>
      <c r="AZ748" s="82" t="s">
        <v>5813</v>
      </c>
      <c r="BA748" s="82" t="s">
        <v>5615</v>
      </c>
      <c r="BB748" s="82" t="s">
        <v>5615</v>
      </c>
      <c r="BC748" s="82" t="s">
        <v>5813</v>
      </c>
      <c r="BD748" s="82" t="s">
        <v>5605</v>
      </c>
      <c r="BE748" s="77"/>
      <c r="BF748" s="77"/>
      <c r="BG748" s="77"/>
      <c r="BH748" s="77"/>
      <c r="BI748" s="77"/>
    </row>
    <row r="749" spans="1:61" x14ac:dyDescent="0.25">
      <c r="A749" s="62" t="s">
        <v>475</v>
      </c>
      <c r="B749" s="62" t="s">
        <v>475</v>
      </c>
      <c r="C749" s="63"/>
      <c r="D749" s="64"/>
      <c r="E749" s="65"/>
      <c r="F749" s="66"/>
      <c r="G749" s="63"/>
      <c r="H749" s="67"/>
      <c r="I749" s="68"/>
      <c r="J749" s="68"/>
      <c r="K749" s="32"/>
      <c r="L749" s="75">
        <v>749</v>
      </c>
      <c r="M749" s="75"/>
      <c r="N749" s="70"/>
      <c r="O749" s="77" t="s">
        <v>583</v>
      </c>
      <c r="P749" s="79">
        <v>45169.525347222225</v>
      </c>
      <c r="Q749" s="77" t="s">
        <v>1298</v>
      </c>
      <c r="R749" s="77">
        <v>0</v>
      </c>
      <c r="S749" s="77">
        <v>0</v>
      </c>
      <c r="T749" s="77">
        <v>0</v>
      </c>
      <c r="U749" s="77">
        <v>0</v>
      </c>
      <c r="V749" s="77">
        <v>15</v>
      </c>
      <c r="W749" s="82" t="s">
        <v>1947</v>
      </c>
      <c r="X749" s="77"/>
      <c r="Y749" s="77"/>
      <c r="Z749" s="77"/>
      <c r="AA749" s="77"/>
      <c r="AB749" s="77"/>
      <c r="AC749" s="82" t="s">
        <v>2720</v>
      </c>
      <c r="AD749" s="77" t="s">
        <v>2752</v>
      </c>
      <c r="AE749" s="80" t="str">
        <f>HYPERLINK("https://twitter.com/economedicos/status/1697226858943729689")</f>
        <v>https://twitter.com/economedicos/status/1697226858943729689</v>
      </c>
      <c r="AF749" s="79">
        <v>45169.525347222225</v>
      </c>
      <c r="AG749" s="85">
        <v>45169</v>
      </c>
      <c r="AH749" s="82" t="s">
        <v>3498</v>
      </c>
      <c r="AI749" s="77"/>
      <c r="AJ749" s="77"/>
      <c r="AK749" s="77"/>
      <c r="AL749" s="77"/>
      <c r="AM749" s="77"/>
      <c r="AN749" s="77"/>
      <c r="AO749" s="77"/>
      <c r="AP749" s="77"/>
      <c r="AQ749" s="77"/>
      <c r="AR749" s="77"/>
      <c r="AS749" s="77"/>
      <c r="AT749" s="77"/>
      <c r="AU749" s="77"/>
      <c r="AV749" s="80" t="str">
        <f>HYPERLINK("https://pbs.twimg.com/profile_images/1283576393662636034/EjgsMA_W_normal.jpg")</f>
        <v>https://pbs.twimg.com/profile_images/1283576393662636034/EjgsMA_W_normal.jpg</v>
      </c>
      <c r="AW749" s="82" t="s">
        <v>5082</v>
      </c>
      <c r="AX749" s="82" t="s">
        <v>5534</v>
      </c>
      <c r="AY749" s="82" t="s">
        <v>5605</v>
      </c>
      <c r="AZ749" s="82" t="s">
        <v>5814</v>
      </c>
      <c r="BA749" s="82" t="s">
        <v>5615</v>
      </c>
      <c r="BB749" s="82" t="s">
        <v>5615</v>
      </c>
      <c r="BC749" s="82" t="s">
        <v>5814</v>
      </c>
      <c r="BD749" s="82" t="s">
        <v>5605</v>
      </c>
      <c r="BE749" s="77"/>
      <c r="BF749" s="77"/>
      <c r="BG749" s="77"/>
      <c r="BH749" s="77"/>
      <c r="BI749" s="77"/>
    </row>
    <row r="750" spans="1:61" x14ac:dyDescent="0.25">
      <c r="A750" s="62" t="s">
        <v>475</v>
      </c>
      <c r="B750" s="62" t="s">
        <v>475</v>
      </c>
      <c r="C750" s="63"/>
      <c r="D750" s="64"/>
      <c r="E750" s="65"/>
      <c r="F750" s="66"/>
      <c r="G750" s="63"/>
      <c r="H750" s="67"/>
      <c r="I750" s="68"/>
      <c r="J750" s="68"/>
      <c r="K750" s="32"/>
      <c r="L750" s="75">
        <v>750</v>
      </c>
      <c r="M750" s="75"/>
      <c r="N750" s="70"/>
      <c r="O750" s="77" t="s">
        <v>583</v>
      </c>
      <c r="P750" s="79">
        <v>45160.449131944442</v>
      </c>
      <c r="Q750" s="77" t="s">
        <v>1299</v>
      </c>
      <c r="R750" s="77">
        <v>0</v>
      </c>
      <c r="S750" s="77">
        <v>0</v>
      </c>
      <c r="T750" s="77">
        <v>0</v>
      </c>
      <c r="U750" s="77">
        <v>0</v>
      </c>
      <c r="V750" s="77">
        <v>3</v>
      </c>
      <c r="W750" s="82" t="s">
        <v>1947</v>
      </c>
      <c r="X750" s="77"/>
      <c r="Y750" s="77"/>
      <c r="Z750" s="77"/>
      <c r="AA750" s="77"/>
      <c r="AB750" s="77"/>
      <c r="AC750" s="82" t="s">
        <v>2720</v>
      </c>
      <c r="AD750" s="77" t="s">
        <v>2752</v>
      </c>
      <c r="AE750" s="80" t="str">
        <f>HYPERLINK("https://twitter.com/economedicos/status/1693937747713544694")</f>
        <v>https://twitter.com/economedicos/status/1693937747713544694</v>
      </c>
      <c r="AF750" s="79">
        <v>45160.449131944442</v>
      </c>
      <c r="AG750" s="85">
        <v>45160</v>
      </c>
      <c r="AH750" s="82" t="s">
        <v>3390</v>
      </c>
      <c r="AI750" s="77"/>
      <c r="AJ750" s="77"/>
      <c r="AK750" s="77"/>
      <c r="AL750" s="77"/>
      <c r="AM750" s="77"/>
      <c r="AN750" s="77"/>
      <c r="AO750" s="77"/>
      <c r="AP750" s="77"/>
      <c r="AQ750" s="77"/>
      <c r="AR750" s="77"/>
      <c r="AS750" s="77"/>
      <c r="AT750" s="77"/>
      <c r="AU750" s="77"/>
      <c r="AV750" s="80" t="str">
        <f>HYPERLINK("https://pbs.twimg.com/profile_images/1283576393662636034/EjgsMA_W_normal.jpg")</f>
        <v>https://pbs.twimg.com/profile_images/1283576393662636034/EjgsMA_W_normal.jpg</v>
      </c>
      <c r="AW750" s="82" t="s">
        <v>5083</v>
      </c>
      <c r="AX750" s="82" t="s">
        <v>5535</v>
      </c>
      <c r="AY750" s="82" t="s">
        <v>5605</v>
      </c>
      <c r="AZ750" s="82" t="s">
        <v>5815</v>
      </c>
      <c r="BA750" s="82" t="s">
        <v>5615</v>
      </c>
      <c r="BB750" s="82" t="s">
        <v>5615</v>
      </c>
      <c r="BC750" s="82" t="s">
        <v>5815</v>
      </c>
      <c r="BD750" s="82" t="s">
        <v>5605</v>
      </c>
      <c r="BE750" s="77"/>
      <c r="BF750" s="77"/>
      <c r="BG750" s="77"/>
      <c r="BH750" s="77"/>
      <c r="BI750" s="77"/>
    </row>
    <row r="751" spans="1:61" x14ac:dyDescent="0.25">
      <c r="A751" s="62" t="s">
        <v>475</v>
      </c>
      <c r="B751" s="62" t="s">
        <v>475</v>
      </c>
      <c r="C751" s="63"/>
      <c r="D751" s="64"/>
      <c r="E751" s="65"/>
      <c r="F751" s="66"/>
      <c r="G751" s="63"/>
      <c r="H751" s="67"/>
      <c r="I751" s="68"/>
      <c r="J751" s="68"/>
      <c r="K751" s="32"/>
      <c r="L751" s="75">
        <v>751</v>
      </c>
      <c r="M751" s="75"/>
      <c r="N751" s="70"/>
      <c r="O751" s="77" t="s">
        <v>583</v>
      </c>
      <c r="P751" s="79">
        <v>45159.491932870369</v>
      </c>
      <c r="Q751" s="77" t="s">
        <v>1300</v>
      </c>
      <c r="R751" s="77">
        <v>0</v>
      </c>
      <c r="S751" s="77">
        <v>0</v>
      </c>
      <c r="T751" s="77">
        <v>0</v>
      </c>
      <c r="U751" s="77">
        <v>0</v>
      </c>
      <c r="V751" s="77">
        <v>6</v>
      </c>
      <c r="W751" s="82" t="s">
        <v>1947</v>
      </c>
      <c r="X751" s="77"/>
      <c r="Y751" s="77"/>
      <c r="Z751" s="77"/>
      <c r="AA751" s="77"/>
      <c r="AB751" s="77"/>
      <c r="AC751" s="82" t="s">
        <v>2720</v>
      </c>
      <c r="AD751" s="77" t="s">
        <v>2752</v>
      </c>
      <c r="AE751" s="80" t="str">
        <f>HYPERLINK("https://twitter.com/economedicos/status/1693590870367330647")</f>
        <v>https://twitter.com/economedicos/status/1693590870367330647</v>
      </c>
      <c r="AF751" s="79">
        <v>45159.491932870369</v>
      </c>
      <c r="AG751" s="85">
        <v>45159</v>
      </c>
      <c r="AH751" s="82" t="s">
        <v>3499</v>
      </c>
      <c r="AI751" s="77"/>
      <c r="AJ751" s="77"/>
      <c r="AK751" s="77"/>
      <c r="AL751" s="77"/>
      <c r="AM751" s="77"/>
      <c r="AN751" s="77"/>
      <c r="AO751" s="77"/>
      <c r="AP751" s="77"/>
      <c r="AQ751" s="77"/>
      <c r="AR751" s="77"/>
      <c r="AS751" s="77"/>
      <c r="AT751" s="77"/>
      <c r="AU751" s="77"/>
      <c r="AV751" s="80" t="str">
        <f>HYPERLINK("https://pbs.twimg.com/profile_images/1283576393662636034/EjgsMA_W_normal.jpg")</f>
        <v>https://pbs.twimg.com/profile_images/1283576393662636034/EjgsMA_W_normal.jpg</v>
      </c>
      <c r="AW751" s="82" t="s">
        <v>5084</v>
      </c>
      <c r="AX751" s="82" t="s">
        <v>5536</v>
      </c>
      <c r="AY751" s="82" t="s">
        <v>5605</v>
      </c>
      <c r="AZ751" s="82" t="s">
        <v>5816</v>
      </c>
      <c r="BA751" s="82" t="s">
        <v>5615</v>
      </c>
      <c r="BB751" s="82" t="s">
        <v>5615</v>
      </c>
      <c r="BC751" s="82" t="s">
        <v>5816</v>
      </c>
      <c r="BD751" s="82" t="s">
        <v>5605</v>
      </c>
      <c r="BE751" s="77"/>
      <c r="BF751" s="77"/>
      <c r="BG751" s="77"/>
      <c r="BH751" s="77"/>
      <c r="BI751" s="77"/>
    </row>
    <row r="752" spans="1:61" x14ac:dyDescent="0.25">
      <c r="A752" s="62" t="s">
        <v>475</v>
      </c>
      <c r="B752" s="62" t="s">
        <v>475</v>
      </c>
      <c r="C752" s="63"/>
      <c r="D752" s="64"/>
      <c r="E752" s="65"/>
      <c r="F752" s="66"/>
      <c r="G752" s="63"/>
      <c r="H752" s="67"/>
      <c r="I752" s="68"/>
      <c r="J752" s="68"/>
      <c r="K752" s="32"/>
      <c r="L752" s="75">
        <v>752</v>
      </c>
      <c r="M752" s="75"/>
      <c r="N752" s="70"/>
      <c r="O752" s="77" t="s">
        <v>583</v>
      </c>
      <c r="P752" s="79">
        <v>45148.443530092591</v>
      </c>
      <c r="Q752" s="77" t="s">
        <v>1301</v>
      </c>
      <c r="R752" s="77">
        <v>0</v>
      </c>
      <c r="S752" s="77">
        <v>0</v>
      </c>
      <c r="T752" s="77">
        <v>0</v>
      </c>
      <c r="U752" s="77">
        <v>0</v>
      </c>
      <c r="V752" s="77">
        <v>7</v>
      </c>
      <c r="W752" s="82" t="s">
        <v>1947</v>
      </c>
      <c r="X752" s="77"/>
      <c r="Y752" s="77"/>
      <c r="Z752" s="77"/>
      <c r="AA752" s="77"/>
      <c r="AB752" s="77"/>
      <c r="AC752" s="82" t="s">
        <v>2720</v>
      </c>
      <c r="AD752" s="77" t="s">
        <v>2752</v>
      </c>
      <c r="AE752" s="80" t="str">
        <f>HYPERLINK("https://twitter.com/economedicos/status/1689587062993793025")</f>
        <v>https://twitter.com/economedicos/status/1689587062993793025</v>
      </c>
      <c r="AF752" s="79">
        <v>45148.443530092591</v>
      </c>
      <c r="AG752" s="85">
        <v>45148</v>
      </c>
      <c r="AH752" s="82" t="s">
        <v>3500</v>
      </c>
      <c r="AI752" s="77"/>
      <c r="AJ752" s="77"/>
      <c r="AK752" s="77"/>
      <c r="AL752" s="77"/>
      <c r="AM752" s="77"/>
      <c r="AN752" s="77"/>
      <c r="AO752" s="77"/>
      <c r="AP752" s="77"/>
      <c r="AQ752" s="77"/>
      <c r="AR752" s="77"/>
      <c r="AS752" s="77"/>
      <c r="AT752" s="77"/>
      <c r="AU752" s="77"/>
      <c r="AV752" s="80" t="str">
        <f>HYPERLINK("https://pbs.twimg.com/profile_images/1283576393662636034/EjgsMA_W_normal.jpg")</f>
        <v>https://pbs.twimg.com/profile_images/1283576393662636034/EjgsMA_W_normal.jpg</v>
      </c>
      <c r="AW752" s="82" t="s">
        <v>5085</v>
      </c>
      <c r="AX752" s="82" t="s">
        <v>5537</v>
      </c>
      <c r="AY752" s="82" t="s">
        <v>5605</v>
      </c>
      <c r="AZ752" s="82" t="s">
        <v>5817</v>
      </c>
      <c r="BA752" s="82" t="s">
        <v>5615</v>
      </c>
      <c r="BB752" s="82" t="s">
        <v>5615</v>
      </c>
      <c r="BC752" s="82" t="s">
        <v>5817</v>
      </c>
      <c r="BD752" s="82" t="s">
        <v>5605</v>
      </c>
      <c r="BE752" s="77"/>
      <c r="BF752" s="77"/>
      <c r="BG752" s="77"/>
      <c r="BH752" s="77"/>
      <c r="BI752" s="77"/>
    </row>
    <row r="753" spans="1:61" x14ac:dyDescent="0.25">
      <c r="A753" s="62" t="s">
        <v>475</v>
      </c>
      <c r="B753" s="62" t="s">
        <v>475</v>
      </c>
      <c r="C753" s="63"/>
      <c r="D753" s="64"/>
      <c r="E753" s="65"/>
      <c r="F753" s="66"/>
      <c r="G753" s="63"/>
      <c r="H753" s="67"/>
      <c r="I753" s="68"/>
      <c r="J753" s="68"/>
      <c r="K753" s="32"/>
      <c r="L753" s="75">
        <v>753</v>
      </c>
      <c r="M753" s="75"/>
      <c r="N753" s="70"/>
      <c r="O753" s="77" t="s">
        <v>583</v>
      </c>
      <c r="P753" s="79">
        <v>45147.453379629631</v>
      </c>
      <c r="Q753" s="77" t="s">
        <v>1302</v>
      </c>
      <c r="R753" s="77">
        <v>0</v>
      </c>
      <c r="S753" s="77">
        <v>0</v>
      </c>
      <c r="T753" s="77">
        <v>0</v>
      </c>
      <c r="U753" s="77">
        <v>0</v>
      </c>
      <c r="V753" s="77">
        <v>21</v>
      </c>
      <c r="W753" s="82" t="s">
        <v>1947</v>
      </c>
      <c r="X753" s="77"/>
      <c r="Y753" s="77"/>
      <c r="Z753" s="77"/>
      <c r="AA753" s="77"/>
      <c r="AB753" s="77"/>
      <c r="AC753" s="82" t="s">
        <v>2720</v>
      </c>
      <c r="AD753" s="77" t="s">
        <v>2752</v>
      </c>
      <c r="AE753" s="80" t="str">
        <f>HYPERLINK("https://twitter.com/economedicos/status/1689228245495918592")</f>
        <v>https://twitter.com/economedicos/status/1689228245495918592</v>
      </c>
      <c r="AF753" s="79">
        <v>45147.453379629631</v>
      </c>
      <c r="AG753" s="85">
        <v>45147</v>
      </c>
      <c r="AH753" s="82" t="s">
        <v>3501</v>
      </c>
      <c r="AI753" s="77"/>
      <c r="AJ753" s="77"/>
      <c r="AK753" s="77"/>
      <c r="AL753" s="77"/>
      <c r="AM753" s="77"/>
      <c r="AN753" s="77"/>
      <c r="AO753" s="77"/>
      <c r="AP753" s="77"/>
      <c r="AQ753" s="77"/>
      <c r="AR753" s="77"/>
      <c r="AS753" s="77"/>
      <c r="AT753" s="77"/>
      <c r="AU753" s="77"/>
      <c r="AV753" s="80" t="str">
        <f>HYPERLINK("https://pbs.twimg.com/profile_images/1283576393662636034/EjgsMA_W_normal.jpg")</f>
        <v>https://pbs.twimg.com/profile_images/1283576393662636034/EjgsMA_W_normal.jpg</v>
      </c>
      <c r="AW753" s="82" t="s">
        <v>5086</v>
      </c>
      <c r="AX753" s="82" t="s">
        <v>5538</v>
      </c>
      <c r="AY753" s="82" t="s">
        <v>5605</v>
      </c>
      <c r="AZ753" s="82" t="s">
        <v>5818</v>
      </c>
      <c r="BA753" s="82" t="s">
        <v>5615</v>
      </c>
      <c r="BB753" s="82" t="s">
        <v>5615</v>
      </c>
      <c r="BC753" s="82" t="s">
        <v>5818</v>
      </c>
      <c r="BD753" s="82" t="s">
        <v>5605</v>
      </c>
      <c r="BE753" s="77"/>
      <c r="BF753" s="77"/>
      <c r="BG753" s="77"/>
      <c r="BH753" s="77"/>
      <c r="BI753" s="77"/>
    </row>
    <row r="754" spans="1:61" x14ac:dyDescent="0.25">
      <c r="A754" s="62" t="s">
        <v>475</v>
      </c>
      <c r="B754" s="62" t="s">
        <v>475</v>
      </c>
      <c r="C754" s="63"/>
      <c r="D754" s="64"/>
      <c r="E754" s="65"/>
      <c r="F754" s="66"/>
      <c r="G754" s="63"/>
      <c r="H754" s="67"/>
      <c r="I754" s="68"/>
      <c r="J754" s="68"/>
      <c r="K754" s="32"/>
      <c r="L754" s="75">
        <v>754</v>
      </c>
      <c r="M754" s="75"/>
      <c r="N754" s="70"/>
      <c r="O754" s="77" t="s">
        <v>583</v>
      </c>
      <c r="P754" s="79">
        <v>45146.46329861111</v>
      </c>
      <c r="Q754" s="77" t="s">
        <v>1303</v>
      </c>
      <c r="R754" s="77">
        <v>0</v>
      </c>
      <c r="S754" s="77">
        <v>0</v>
      </c>
      <c r="T754" s="77">
        <v>0</v>
      </c>
      <c r="U754" s="77">
        <v>0</v>
      </c>
      <c r="V754" s="77">
        <v>17</v>
      </c>
      <c r="W754" s="82" t="s">
        <v>1947</v>
      </c>
      <c r="X754" s="77"/>
      <c r="Y754" s="77"/>
      <c r="Z754" s="77"/>
      <c r="AA754" s="77"/>
      <c r="AB754" s="77"/>
      <c r="AC754" s="82" t="s">
        <v>2720</v>
      </c>
      <c r="AD754" s="77" t="s">
        <v>2752</v>
      </c>
      <c r="AE754" s="80" t="str">
        <f>HYPERLINK("https://twitter.com/economedicos/status/1688869450689269760")</f>
        <v>https://twitter.com/economedicos/status/1688869450689269760</v>
      </c>
      <c r="AF754" s="79">
        <v>45146.46329861111</v>
      </c>
      <c r="AG754" s="85">
        <v>45146</v>
      </c>
      <c r="AH754" s="82" t="s">
        <v>3502</v>
      </c>
      <c r="AI754" s="77"/>
      <c r="AJ754" s="77"/>
      <c r="AK754" s="77"/>
      <c r="AL754" s="77"/>
      <c r="AM754" s="77"/>
      <c r="AN754" s="77"/>
      <c r="AO754" s="77"/>
      <c r="AP754" s="77"/>
      <c r="AQ754" s="77"/>
      <c r="AR754" s="77"/>
      <c r="AS754" s="77"/>
      <c r="AT754" s="77"/>
      <c r="AU754" s="77"/>
      <c r="AV754" s="80" t="str">
        <f>HYPERLINK("https://pbs.twimg.com/profile_images/1283576393662636034/EjgsMA_W_normal.jpg")</f>
        <v>https://pbs.twimg.com/profile_images/1283576393662636034/EjgsMA_W_normal.jpg</v>
      </c>
      <c r="AW754" s="82" t="s">
        <v>5087</v>
      </c>
      <c r="AX754" s="82" t="s">
        <v>5539</v>
      </c>
      <c r="AY754" s="82" t="s">
        <v>5605</v>
      </c>
      <c r="AZ754" s="82" t="s">
        <v>5819</v>
      </c>
      <c r="BA754" s="82" t="s">
        <v>5615</v>
      </c>
      <c r="BB754" s="82" t="s">
        <v>5615</v>
      </c>
      <c r="BC754" s="82" t="s">
        <v>5819</v>
      </c>
      <c r="BD754" s="82" t="s">
        <v>5605</v>
      </c>
      <c r="BE754" s="77"/>
      <c r="BF754" s="77"/>
      <c r="BG754" s="77"/>
      <c r="BH754" s="77"/>
      <c r="BI754" s="77"/>
    </row>
    <row r="755" spans="1:61" x14ac:dyDescent="0.25">
      <c r="A755" s="62" t="s">
        <v>475</v>
      </c>
      <c r="B755" s="62" t="s">
        <v>475</v>
      </c>
      <c r="C755" s="63"/>
      <c r="D755" s="64"/>
      <c r="E755" s="65"/>
      <c r="F755" s="66"/>
      <c r="G755" s="63"/>
      <c r="H755" s="67"/>
      <c r="I755" s="68"/>
      <c r="J755" s="68"/>
      <c r="K755" s="32"/>
      <c r="L755" s="75">
        <v>755</v>
      </c>
      <c r="M755" s="75"/>
      <c r="N755" s="70"/>
      <c r="O755" s="77" t="s">
        <v>583</v>
      </c>
      <c r="P755" s="79">
        <v>44999.453298611108</v>
      </c>
      <c r="Q755" s="77" t="s">
        <v>1304</v>
      </c>
      <c r="R755" s="77">
        <v>0</v>
      </c>
      <c r="S755" s="77">
        <v>0</v>
      </c>
      <c r="T755" s="77">
        <v>0</v>
      </c>
      <c r="U755" s="77">
        <v>0</v>
      </c>
      <c r="V755" s="77">
        <v>9</v>
      </c>
      <c r="W755" s="82" t="s">
        <v>1947</v>
      </c>
      <c r="X755" s="77"/>
      <c r="Y755" s="77"/>
      <c r="Z755" s="77"/>
      <c r="AA755" s="77"/>
      <c r="AB755" s="77"/>
      <c r="AC755" s="82" t="s">
        <v>2720</v>
      </c>
      <c r="AD755" s="77" t="s">
        <v>2752</v>
      </c>
      <c r="AE755" s="80" t="str">
        <f>HYPERLINK("https://twitter.com/economedicos/status/1635594811544592387")</f>
        <v>https://twitter.com/economedicos/status/1635594811544592387</v>
      </c>
      <c r="AF755" s="79">
        <v>44999.453298611108</v>
      </c>
      <c r="AG755" s="85">
        <v>44999</v>
      </c>
      <c r="AH755" s="82" t="s">
        <v>3503</v>
      </c>
      <c r="AI755" s="77"/>
      <c r="AJ755" s="77"/>
      <c r="AK755" s="77"/>
      <c r="AL755" s="77"/>
      <c r="AM755" s="77"/>
      <c r="AN755" s="77"/>
      <c r="AO755" s="77"/>
      <c r="AP755" s="77"/>
      <c r="AQ755" s="77"/>
      <c r="AR755" s="77"/>
      <c r="AS755" s="77"/>
      <c r="AT755" s="77"/>
      <c r="AU755" s="77"/>
      <c r="AV755" s="80" t="str">
        <f>HYPERLINK("https://pbs.twimg.com/profile_images/1283576393662636034/EjgsMA_W_normal.jpg")</f>
        <v>https://pbs.twimg.com/profile_images/1283576393662636034/EjgsMA_W_normal.jpg</v>
      </c>
      <c r="AW755" s="82" t="s">
        <v>5088</v>
      </c>
      <c r="AX755" s="82" t="s">
        <v>5540</v>
      </c>
      <c r="AY755" s="82" t="s">
        <v>5605</v>
      </c>
      <c r="AZ755" s="82" t="s">
        <v>5820</v>
      </c>
      <c r="BA755" s="82" t="s">
        <v>5615</v>
      </c>
      <c r="BB755" s="82" t="s">
        <v>5615</v>
      </c>
      <c r="BC755" s="82" t="s">
        <v>5820</v>
      </c>
      <c r="BD755" s="82" t="s">
        <v>5605</v>
      </c>
      <c r="BE755" s="77"/>
      <c r="BF755" s="77"/>
      <c r="BG755" s="77"/>
      <c r="BH755" s="77"/>
      <c r="BI755" s="77"/>
    </row>
    <row r="756" spans="1:61" x14ac:dyDescent="0.25">
      <c r="A756" s="62" t="s">
        <v>475</v>
      </c>
      <c r="B756" s="62" t="s">
        <v>475</v>
      </c>
      <c r="C756" s="63"/>
      <c r="D756" s="64"/>
      <c r="E756" s="65"/>
      <c r="F756" s="66"/>
      <c r="G756" s="63"/>
      <c r="H756" s="67"/>
      <c r="I756" s="68"/>
      <c r="J756" s="68"/>
      <c r="K756" s="32"/>
      <c r="L756" s="75">
        <v>756</v>
      </c>
      <c r="M756" s="75"/>
      <c r="N756" s="70"/>
      <c r="O756" s="77" t="s">
        <v>583</v>
      </c>
      <c r="P756" s="79">
        <v>44992.435520833336</v>
      </c>
      <c r="Q756" s="77" t="s">
        <v>1305</v>
      </c>
      <c r="R756" s="77">
        <v>0</v>
      </c>
      <c r="S756" s="77">
        <v>0</v>
      </c>
      <c r="T756" s="77">
        <v>0</v>
      </c>
      <c r="U756" s="77">
        <v>0</v>
      </c>
      <c r="V756" s="77">
        <v>5</v>
      </c>
      <c r="W756" s="82" t="s">
        <v>1947</v>
      </c>
      <c r="X756" s="77"/>
      <c r="Y756" s="77"/>
      <c r="Z756" s="77"/>
      <c r="AA756" s="77"/>
      <c r="AB756" s="77"/>
      <c r="AC756" s="82" t="s">
        <v>2720</v>
      </c>
      <c r="AD756" s="77" t="s">
        <v>2752</v>
      </c>
      <c r="AE756" s="80" t="str">
        <f>HYPERLINK("https://twitter.com/economedicos/status/1633051652415537153")</f>
        <v>https://twitter.com/economedicos/status/1633051652415537153</v>
      </c>
      <c r="AF756" s="79">
        <v>44992.435520833336</v>
      </c>
      <c r="AG756" s="85">
        <v>44992</v>
      </c>
      <c r="AH756" s="82" t="s">
        <v>3480</v>
      </c>
      <c r="AI756" s="77"/>
      <c r="AJ756" s="77"/>
      <c r="AK756" s="77"/>
      <c r="AL756" s="77"/>
      <c r="AM756" s="77"/>
      <c r="AN756" s="77"/>
      <c r="AO756" s="77"/>
      <c r="AP756" s="77"/>
      <c r="AQ756" s="77"/>
      <c r="AR756" s="77"/>
      <c r="AS756" s="77"/>
      <c r="AT756" s="77"/>
      <c r="AU756" s="77"/>
      <c r="AV756" s="80" t="str">
        <f>HYPERLINK("https://pbs.twimg.com/profile_images/1283576393662636034/EjgsMA_W_normal.jpg")</f>
        <v>https://pbs.twimg.com/profile_images/1283576393662636034/EjgsMA_W_normal.jpg</v>
      </c>
      <c r="AW756" s="82" t="s">
        <v>5089</v>
      </c>
      <c r="AX756" s="82" t="s">
        <v>5541</v>
      </c>
      <c r="AY756" s="82" t="s">
        <v>5605</v>
      </c>
      <c r="AZ756" s="82" t="s">
        <v>5821</v>
      </c>
      <c r="BA756" s="82" t="s">
        <v>5615</v>
      </c>
      <c r="BB756" s="82" t="s">
        <v>5615</v>
      </c>
      <c r="BC756" s="82" t="s">
        <v>5821</v>
      </c>
      <c r="BD756" s="82" t="s">
        <v>5605</v>
      </c>
      <c r="BE756" s="77"/>
      <c r="BF756" s="77"/>
      <c r="BG756" s="77"/>
      <c r="BH756" s="77"/>
      <c r="BI756" s="77"/>
    </row>
    <row r="757" spans="1:61" x14ac:dyDescent="0.25">
      <c r="A757" s="62" t="s">
        <v>475</v>
      </c>
      <c r="B757" s="62" t="s">
        <v>475</v>
      </c>
      <c r="C757" s="63"/>
      <c r="D757" s="64"/>
      <c r="E757" s="65"/>
      <c r="F757" s="66"/>
      <c r="G757" s="63"/>
      <c r="H757" s="67"/>
      <c r="I757" s="68"/>
      <c r="J757" s="68"/>
      <c r="K757" s="32"/>
      <c r="L757" s="75">
        <v>757</v>
      </c>
      <c r="M757" s="75"/>
      <c r="N757" s="70"/>
      <c r="O757" s="77" t="s">
        <v>583</v>
      </c>
      <c r="P757" s="79">
        <v>44991.448796296296</v>
      </c>
      <c r="Q757" s="77" t="s">
        <v>1306</v>
      </c>
      <c r="R757" s="77">
        <v>0</v>
      </c>
      <c r="S757" s="77">
        <v>0</v>
      </c>
      <c r="T757" s="77">
        <v>0</v>
      </c>
      <c r="U757" s="77">
        <v>0</v>
      </c>
      <c r="V757" s="77">
        <v>21</v>
      </c>
      <c r="W757" s="82" t="s">
        <v>1947</v>
      </c>
      <c r="X757" s="77"/>
      <c r="Y757" s="77"/>
      <c r="Z757" s="77"/>
      <c r="AA757" s="77"/>
      <c r="AB757" s="77"/>
      <c r="AC757" s="82" t="s">
        <v>2720</v>
      </c>
      <c r="AD757" s="77" t="s">
        <v>2752</v>
      </c>
      <c r="AE757" s="80" t="str">
        <f>HYPERLINK("https://twitter.com/economedicos/status/1632694077475913728")</f>
        <v>https://twitter.com/economedicos/status/1632694077475913728</v>
      </c>
      <c r="AF757" s="79">
        <v>44991.448796296296</v>
      </c>
      <c r="AG757" s="85">
        <v>44991</v>
      </c>
      <c r="AH757" s="82" t="s">
        <v>3504</v>
      </c>
      <c r="AI757" s="77"/>
      <c r="AJ757" s="77"/>
      <c r="AK757" s="77"/>
      <c r="AL757" s="77"/>
      <c r="AM757" s="77"/>
      <c r="AN757" s="77"/>
      <c r="AO757" s="77"/>
      <c r="AP757" s="77"/>
      <c r="AQ757" s="77"/>
      <c r="AR757" s="77"/>
      <c r="AS757" s="77"/>
      <c r="AT757" s="77"/>
      <c r="AU757" s="77"/>
      <c r="AV757" s="80" t="str">
        <f>HYPERLINK("https://pbs.twimg.com/profile_images/1283576393662636034/EjgsMA_W_normal.jpg")</f>
        <v>https://pbs.twimg.com/profile_images/1283576393662636034/EjgsMA_W_normal.jpg</v>
      </c>
      <c r="AW757" s="82" t="s">
        <v>5090</v>
      </c>
      <c r="AX757" s="82" t="s">
        <v>5542</v>
      </c>
      <c r="AY757" s="82" t="s">
        <v>5605</v>
      </c>
      <c r="AZ757" s="82" t="s">
        <v>5822</v>
      </c>
      <c r="BA757" s="82" t="s">
        <v>5615</v>
      </c>
      <c r="BB757" s="82" t="s">
        <v>5615</v>
      </c>
      <c r="BC757" s="82" t="s">
        <v>5822</v>
      </c>
      <c r="BD757" s="82" t="s">
        <v>5605</v>
      </c>
      <c r="BE757" s="77"/>
      <c r="BF757" s="77"/>
      <c r="BG757" s="77"/>
      <c r="BH757" s="77"/>
      <c r="BI757" s="77"/>
    </row>
    <row r="758" spans="1:61" x14ac:dyDescent="0.25">
      <c r="A758" s="62" t="s">
        <v>475</v>
      </c>
      <c r="B758" s="62" t="s">
        <v>475</v>
      </c>
      <c r="C758" s="63"/>
      <c r="D758" s="64"/>
      <c r="E758" s="65"/>
      <c r="F758" s="66"/>
      <c r="G758" s="63"/>
      <c r="H758" s="67"/>
      <c r="I758" s="68"/>
      <c r="J758" s="68"/>
      <c r="K758" s="32"/>
      <c r="L758" s="75">
        <v>758</v>
      </c>
      <c r="M758" s="75"/>
      <c r="N758" s="70"/>
      <c r="O758" s="77" t="s">
        <v>583</v>
      </c>
      <c r="P758" s="79">
        <v>44988.464861111112</v>
      </c>
      <c r="Q758" s="77" t="s">
        <v>1307</v>
      </c>
      <c r="R758" s="77">
        <v>0</v>
      </c>
      <c r="S758" s="77">
        <v>0</v>
      </c>
      <c r="T758" s="77">
        <v>0</v>
      </c>
      <c r="U758" s="77">
        <v>0</v>
      </c>
      <c r="V758" s="77">
        <v>5</v>
      </c>
      <c r="W758" s="82" t="s">
        <v>1947</v>
      </c>
      <c r="X758" s="77"/>
      <c r="Y758" s="77"/>
      <c r="Z758" s="77"/>
      <c r="AA758" s="77"/>
      <c r="AB758" s="77"/>
      <c r="AC758" s="82" t="s">
        <v>2720</v>
      </c>
      <c r="AD758" s="77" t="s">
        <v>2752</v>
      </c>
      <c r="AE758" s="80" t="str">
        <f>HYPERLINK("https://twitter.com/economedicos/status/1631612732997763072")</f>
        <v>https://twitter.com/economedicos/status/1631612732997763072</v>
      </c>
      <c r="AF758" s="79">
        <v>44988.464861111112</v>
      </c>
      <c r="AG758" s="85">
        <v>44988</v>
      </c>
      <c r="AH758" s="82" t="s">
        <v>3505</v>
      </c>
      <c r="AI758" s="77"/>
      <c r="AJ758" s="77"/>
      <c r="AK758" s="77"/>
      <c r="AL758" s="77"/>
      <c r="AM758" s="77"/>
      <c r="AN758" s="77"/>
      <c r="AO758" s="77"/>
      <c r="AP758" s="77"/>
      <c r="AQ758" s="77"/>
      <c r="AR758" s="77"/>
      <c r="AS758" s="77"/>
      <c r="AT758" s="77"/>
      <c r="AU758" s="77"/>
      <c r="AV758" s="80" t="str">
        <f>HYPERLINK("https://pbs.twimg.com/profile_images/1283576393662636034/EjgsMA_W_normal.jpg")</f>
        <v>https://pbs.twimg.com/profile_images/1283576393662636034/EjgsMA_W_normal.jpg</v>
      </c>
      <c r="AW758" s="82" t="s">
        <v>5091</v>
      </c>
      <c r="AX758" s="82" t="s">
        <v>5543</v>
      </c>
      <c r="AY758" s="82" t="s">
        <v>5605</v>
      </c>
      <c r="AZ758" s="82" t="s">
        <v>5823</v>
      </c>
      <c r="BA758" s="82" t="s">
        <v>5615</v>
      </c>
      <c r="BB758" s="82" t="s">
        <v>5615</v>
      </c>
      <c r="BC758" s="82" t="s">
        <v>5823</v>
      </c>
      <c r="BD758" s="82" t="s">
        <v>5605</v>
      </c>
      <c r="BE758" s="77"/>
      <c r="BF758" s="77"/>
      <c r="BG758" s="77"/>
      <c r="BH758" s="77"/>
      <c r="BI758" s="77"/>
    </row>
    <row r="759" spans="1:61" x14ac:dyDescent="0.25">
      <c r="A759" s="62" t="s">
        <v>475</v>
      </c>
      <c r="B759" s="62" t="s">
        <v>475</v>
      </c>
      <c r="C759" s="63"/>
      <c r="D759" s="64"/>
      <c r="E759" s="65"/>
      <c r="F759" s="66"/>
      <c r="G759" s="63"/>
      <c r="H759" s="67"/>
      <c r="I759" s="68"/>
      <c r="J759" s="68"/>
      <c r="K759" s="32"/>
      <c r="L759" s="75">
        <v>759</v>
      </c>
      <c r="M759" s="75"/>
      <c r="N759" s="70"/>
      <c r="O759" s="77" t="s">
        <v>583</v>
      </c>
      <c r="P759" s="79">
        <v>44987.510335648149</v>
      </c>
      <c r="Q759" s="77" t="s">
        <v>1308</v>
      </c>
      <c r="R759" s="77">
        <v>0</v>
      </c>
      <c r="S759" s="77">
        <v>0</v>
      </c>
      <c r="T759" s="77">
        <v>0</v>
      </c>
      <c r="U759" s="77">
        <v>0</v>
      </c>
      <c r="V759" s="77">
        <v>2</v>
      </c>
      <c r="W759" s="82" t="s">
        <v>1947</v>
      </c>
      <c r="X759" s="77"/>
      <c r="Y759" s="77"/>
      <c r="Z759" s="77"/>
      <c r="AA759" s="77"/>
      <c r="AB759" s="77"/>
      <c r="AC759" s="82" t="s">
        <v>2720</v>
      </c>
      <c r="AD759" s="77" t="s">
        <v>2752</v>
      </c>
      <c r="AE759" s="80" t="str">
        <f>HYPERLINK("https://twitter.com/economedicos/status/1631266827064991745")</f>
        <v>https://twitter.com/economedicos/status/1631266827064991745</v>
      </c>
      <c r="AF759" s="79">
        <v>44987.510335648149</v>
      </c>
      <c r="AG759" s="85">
        <v>44987</v>
      </c>
      <c r="AH759" s="82" t="s">
        <v>3506</v>
      </c>
      <c r="AI759" s="77"/>
      <c r="AJ759" s="77"/>
      <c r="AK759" s="77"/>
      <c r="AL759" s="77"/>
      <c r="AM759" s="77"/>
      <c r="AN759" s="77"/>
      <c r="AO759" s="77"/>
      <c r="AP759" s="77"/>
      <c r="AQ759" s="77"/>
      <c r="AR759" s="77"/>
      <c r="AS759" s="77"/>
      <c r="AT759" s="77"/>
      <c r="AU759" s="77"/>
      <c r="AV759" s="80" t="str">
        <f>HYPERLINK("https://pbs.twimg.com/profile_images/1283576393662636034/EjgsMA_W_normal.jpg")</f>
        <v>https://pbs.twimg.com/profile_images/1283576393662636034/EjgsMA_W_normal.jpg</v>
      </c>
      <c r="AW759" s="82" t="s">
        <v>5092</v>
      </c>
      <c r="AX759" s="82" t="s">
        <v>5544</v>
      </c>
      <c r="AY759" s="82" t="s">
        <v>5605</v>
      </c>
      <c r="AZ759" s="82" t="s">
        <v>5824</v>
      </c>
      <c r="BA759" s="82" t="s">
        <v>5615</v>
      </c>
      <c r="BB759" s="82" t="s">
        <v>5615</v>
      </c>
      <c r="BC759" s="82" t="s">
        <v>5824</v>
      </c>
      <c r="BD759" s="82" t="s">
        <v>5605</v>
      </c>
      <c r="BE759" s="77"/>
      <c r="BF759" s="77"/>
      <c r="BG759" s="77"/>
      <c r="BH759" s="77"/>
      <c r="BI759" s="77"/>
    </row>
    <row r="760" spans="1:61" x14ac:dyDescent="0.25">
      <c r="A760" s="62" t="s">
        <v>475</v>
      </c>
      <c r="B760" s="62" t="s">
        <v>475</v>
      </c>
      <c r="C760" s="63"/>
      <c r="D760" s="64"/>
      <c r="E760" s="65"/>
      <c r="F760" s="66"/>
      <c r="G760" s="63"/>
      <c r="H760" s="67"/>
      <c r="I760" s="68"/>
      <c r="J760" s="68"/>
      <c r="K760" s="32"/>
      <c r="L760" s="75">
        <v>760</v>
      </c>
      <c r="M760" s="75"/>
      <c r="N760" s="70"/>
      <c r="O760" s="77" t="s">
        <v>583</v>
      </c>
      <c r="P760" s="79">
        <v>44944.455358796295</v>
      </c>
      <c r="Q760" s="77" t="s">
        <v>1309</v>
      </c>
      <c r="R760" s="77">
        <v>0</v>
      </c>
      <c r="S760" s="77">
        <v>0</v>
      </c>
      <c r="T760" s="77">
        <v>0</v>
      </c>
      <c r="U760" s="77">
        <v>0</v>
      </c>
      <c r="V760" s="77">
        <v>8</v>
      </c>
      <c r="W760" s="82" t="s">
        <v>1947</v>
      </c>
      <c r="X760" s="77"/>
      <c r="Y760" s="77"/>
      <c r="Z760" s="77"/>
      <c r="AA760" s="77"/>
      <c r="AB760" s="77"/>
      <c r="AC760" s="82" t="s">
        <v>2720</v>
      </c>
      <c r="AD760" s="77" t="s">
        <v>2752</v>
      </c>
      <c r="AE760" s="80" t="str">
        <f>HYPERLINK("https://twitter.com/economedicos/status/1615664225153871873")</f>
        <v>https://twitter.com/economedicos/status/1615664225153871873</v>
      </c>
      <c r="AF760" s="79">
        <v>44944.455358796295</v>
      </c>
      <c r="AG760" s="85">
        <v>44944</v>
      </c>
      <c r="AH760" s="82" t="s">
        <v>3507</v>
      </c>
      <c r="AI760" s="77"/>
      <c r="AJ760" s="77"/>
      <c r="AK760" s="77"/>
      <c r="AL760" s="77"/>
      <c r="AM760" s="77"/>
      <c r="AN760" s="77"/>
      <c r="AO760" s="77"/>
      <c r="AP760" s="77"/>
      <c r="AQ760" s="77"/>
      <c r="AR760" s="77"/>
      <c r="AS760" s="77"/>
      <c r="AT760" s="77"/>
      <c r="AU760" s="77"/>
      <c r="AV760" s="80" t="str">
        <f>HYPERLINK("https://pbs.twimg.com/profile_images/1283576393662636034/EjgsMA_W_normal.jpg")</f>
        <v>https://pbs.twimg.com/profile_images/1283576393662636034/EjgsMA_W_normal.jpg</v>
      </c>
      <c r="AW760" s="82" t="s">
        <v>5093</v>
      </c>
      <c r="AX760" s="82" t="s">
        <v>5545</v>
      </c>
      <c r="AY760" s="82" t="s">
        <v>5605</v>
      </c>
      <c r="AZ760" s="82" t="s">
        <v>5825</v>
      </c>
      <c r="BA760" s="82" t="s">
        <v>5615</v>
      </c>
      <c r="BB760" s="82" t="s">
        <v>5615</v>
      </c>
      <c r="BC760" s="82" t="s">
        <v>5825</v>
      </c>
      <c r="BD760" s="82" t="s">
        <v>5605</v>
      </c>
      <c r="BE760" s="77"/>
      <c r="BF760" s="77"/>
      <c r="BG760" s="77"/>
      <c r="BH760" s="77"/>
      <c r="BI760" s="77"/>
    </row>
    <row r="761" spans="1:61" x14ac:dyDescent="0.25">
      <c r="A761" s="62" t="s">
        <v>475</v>
      </c>
      <c r="B761" s="62" t="s">
        <v>475</v>
      </c>
      <c r="C761" s="63"/>
      <c r="D761" s="64"/>
      <c r="E761" s="65"/>
      <c r="F761" s="66"/>
      <c r="G761" s="63"/>
      <c r="H761" s="67"/>
      <c r="I761" s="68"/>
      <c r="J761" s="68"/>
      <c r="K761" s="32"/>
      <c r="L761" s="75">
        <v>761</v>
      </c>
      <c r="M761" s="75"/>
      <c r="N761" s="70"/>
      <c r="O761" s="77" t="s">
        <v>583</v>
      </c>
      <c r="P761" s="79">
        <v>44943.474016203705</v>
      </c>
      <c r="Q761" s="77" t="s">
        <v>1310</v>
      </c>
      <c r="R761" s="77">
        <v>0</v>
      </c>
      <c r="S761" s="77">
        <v>0</v>
      </c>
      <c r="T761" s="77">
        <v>0</v>
      </c>
      <c r="U761" s="77">
        <v>0</v>
      </c>
      <c r="V761" s="77">
        <v>6</v>
      </c>
      <c r="W761" s="82" t="s">
        <v>1947</v>
      </c>
      <c r="X761" s="77"/>
      <c r="Y761" s="77"/>
      <c r="Z761" s="77"/>
      <c r="AA761" s="77"/>
      <c r="AB761" s="77"/>
      <c r="AC761" s="82" t="s">
        <v>2720</v>
      </c>
      <c r="AD761" s="77" t="s">
        <v>2752</v>
      </c>
      <c r="AE761" s="80" t="str">
        <f>HYPERLINK("https://twitter.com/economedicos/status/1615308600389369856")</f>
        <v>https://twitter.com/economedicos/status/1615308600389369856</v>
      </c>
      <c r="AF761" s="79">
        <v>44943.474016203705</v>
      </c>
      <c r="AG761" s="85">
        <v>44943</v>
      </c>
      <c r="AH761" s="82" t="s">
        <v>3508</v>
      </c>
      <c r="AI761" s="77"/>
      <c r="AJ761" s="77"/>
      <c r="AK761" s="77"/>
      <c r="AL761" s="77"/>
      <c r="AM761" s="77"/>
      <c r="AN761" s="77"/>
      <c r="AO761" s="77"/>
      <c r="AP761" s="77"/>
      <c r="AQ761" s="77"/>
      <c r="AR761" s="77"/>
      <c r="AS761" s="77"/>
      <c r="AT761" s="77"/>
      <c r="AU761" s="77"/>
      <c r="AV761" s="80" t="str">
        <f>HYPERLINK("https://pbs.twimg.com/profile_images/1283576393662636034/EjgsMA_W_normal.jpg")</f>
        <v>https://pbs.twimg.com/profile_images/1283576393662636034/EjgsMA_W_normal.jpg</v>
      </c>
      <c r="AW761" s="82" t="s">
        <v>5094</v>
      </c>
      <c r="AX761" s="82" t="s">
        <v>5546</v>
      </c>
      <c r="AY761" s="82" t="s">
        <v>5605</v>
      </c>
      <c r="AZ761" s="82" t="s">
        <v>5826</v>
      </c>
      <c r="BA761" s="82" t="s">
        <v>5615</v>
      </c>
      <c r="BB761" s="82" t="s">
        <v>5615</v>
      </c>
      <c r="BC761" s="82" t="s">
        <v>5826</v>
      </c>
      <c r="BD761" s="82" t="s">
        <v>5605</v>
      </c>
      <c r="BE761" s="77"/>
      <c r="BF761" s="77"/>
      <c r="BG761" s="77"/>
      <c r="BH761" s="77"/>
      <c r="BI761" s="77"/>
    </row>
    <row r="762" spans="1:61" x14ac:dyDescent="0.25">
      <c r="A762" s="62" t="s">
        <v>475</v>
      </c>
      <c r="B762" s="62" t="s">
        <v>475</v>
      </c>
      <c r="C762" s="63"/>
      <c r="D762" s="64"/>
      <c r="E762" s="65"/>
      <c r="F762" s="66"/>
      <c r="G762" s="63"/>
      <c r="H762" s="67"/>
      <c r="I762" s="68"/>
      <c r="J762" s="68"/>
      <c r="K762" s="32"/>
      <c r="L762" s="75">
        <v>762</v>
      </c>
      <c r="M762" s="75"/>
      <c r="N762" s="70"/>
      <c r="O762" s="77" t="s">
        <v>583</v>
      </c>
      <c r="P762" s="79">
        <v>44942.561481481483</v>
      </c>
      <c r="Q762" s="77" t="s">
        <v>1311</v>
      </c>
      <c r="R762" s="77">
        <v>0</v>
      </c>
      <c r="S762" s="77">
        <v>0</v>
      </c>
      <c r="T762" s="77">
        <v>0</v>
      </c>
      <c r="U762" s="77">
        <v>0</v>
      </c>
      <c r="V762" s="77">
        <v>10</v>
      </c>
      <c r="W762" s="82" t="s">
        <v>1947</v>
      </c>
      <c r="X762" s="77"/>
      <c r="Y762" s="77"/>
      <c r="Z762" s="77"/>
      <c r="AA762" s="77"/>
      <c r="AB762" s="77"/>
      <c r="AC762" s="82" t="s">
        <v>2720</v>
      </c>
      <c r="AD762" s="77" t="s">
        <v>2752</v>
      </c>
      <c r="AE762" s="80" t="str">
        <f>HYPERLINK("https://twitter.com/economedicos/status/1614977905263534080")</f>
        <v>https://twitter.com/economedicos/status/1614977905263534080</v>
      </c>
      <c r="AF762" s="79">
        <v>44942.561481481483</v>
      </c>
      <c r="AG762" s="85">
        <v>44942</v>
      </c>
      <c r="AH762" s="82" t="s">
        <v>3509</v>
      </c>
      <c r="AI762" s="77"/>
      <c r="AJ762" s="77"/>
      <c r="AK762" s="77"/>
      <c r="AL762" s="77"/>
      <c r="AM762" s="77"/>
      <c r="AN762" s="77"/>
      <c r="AO762" s="77"/>
      <c r="AP762" s="77"/>
      <c r="AQ762" s="77"/>
      <c r="AR762" s="77"/>
      <c r="AS762" s="77"/>
      <c r="AT762" s="77"/>
      <c r="AU762" s="77"/>
      <c r="AV762" s="80" t="str">
        <f>HYPERLINK("https://pbs.twimg.com/profile_images/1283576393662636034/EjgsMA_W_normal.jpg")</f>
        <v>https://pbs.twimg.com/profile_images/1283576393662636034/EjgsMA_W_normal.jpg</v>
      </c>
      <c r="AW762" s="82" t="s">
        <v>5095</v>
      </c>
      <c r="AX762" s="82" t="s">
        <v>5547</v>
      </c>
      <c r="AY762" s="82" t="s">
        <v>5605</v>
      </c>
      <c r="AZ762" s="82" t="s">
        <v>5827</v>
      </c>
      <c r="BA762" s="82" t="s">
        <v>5615</v>
      </c>
      <c r="BB762" s="82" t="s">
        <v>5615</v>
      </c>
      <c r="BC762" s="82" t="s">
        <v>5827</v>
      </c>
      <c r="BD762" s="82" t="s">
        <v>5605</v>
      </c>
      <c r="BE762" s="77"/>
      <c r="BF762" s="77"/>
      <c r="BG762" s="77"/>
      <c r="BH762" s="77"/>
      <c r="BI762" s="77"/>
    </row>
    <row r="763" spans="1:61" x14ac:dyDescent="0.25">
      <c r="A763" s="62" t="s">
        <v>476</v>
      </c>
      <c r="B763" s="62" t="s">
        <v>476</v>
      </c>
      <c r="C763" s="63"/>
      <c r="D763" s="64"/>
      <c r="E763" s="65"/>
      <c r="F763" s="66"/>
      <c r="G763" s="63"/>
      <c r="H763" s="67"/>
      <c r="I763" s="68"/>
      <c r="J763" s="68"/>
      <c r="K763" s="32"/>
      <c r="L763" s="75">
        <v>763</v>
      </c>
      <c r="M763" s="75"/>
      <c r="N763" s="70"/>
      <c r="O763" s="77" t="s">
        <v>179</v>
      </c>
      <c r="P763" s="79">
        <v>44931.92863425926</v>
      </c>
      <c r="Q763" s="77" t="s">
        <v>1312</v>
      </c>
      <c r="R763" s="77">
        <v>0</v>
      </c>
      <c r="S763" s="77">
        <v>1</v>
      </c>
      <c r="T763" s="77">
        <v>1</v>
      </c>
      <c r="U763" s="77">
        <v>0</v>
      </c>
      <c r="V763" s="77">
        <v>125</v>
      </c>
      <c r="W763" s="82" t="s">
        <v>1951</v>
      </c>
      <c r="X763" s="77"/>
      <c r="Y763" s="77"/>
      <c r="Z763" s="77"/>
      <c r="AA763" s="77" t="s">
        <v>2563</v>
      </c>
      <c r="AB763" s="77" t="s">
        <v>2713</v>
      </c>
      <c r="AC763" s="82" t="s">
        <v>2719</v>
      </c>
      <c r="AD763" s="77" t="s">
        <v>2752</v>
      </c>
      <c r="AE763" s="80" t="str">
        <f>HYPERLINK("https://twitter.com/heltonarcanjo2/status/1611124692844253184")</f>
        <v>https://twitter.com/heltonarcanjo2/status/1611124692844253184</v>
      </c>
      <c r="AF763" s="79">
        <v>44931.92863425926</v>
      </c>
      <c r="AG763" s="85">
        <v>44931</v>
      </c>
      <c r="AH763" s="82" t="s">
        <v>3510</v>
      </c>
      <c r="AI763" s="77" t="b">
        <v>0</v>
      </c>
      <c r="AJ763" s="77"/>
      <c r="AK763" s="77"/>
      <c r="AL763" s="77"/>
      <c r="AM763" s="77"/>
      <c r="AN763" s="77"/>
      <c r="AO763" s="77"/>
      <c r="AP763" s="77"/>
      <c r="AQ763" s="77" t="s">
        <v>4189</v>
      </c>
      <c r="AR763" s="77">
        <v>45025</v>
      </c>
      <c r="AS763" s="77"/>
      <c r="AT763" s="77"/>
      <c r="AU763" s="77"/>
      <c r="AV763" s="80" t="str">
        <f>HYPERLINK("https://pbs.twimg.com/ext_tw_video_thumb/1611124609658589197/pu/img/Lqmzf5BE_W-9E3MI.jpg")</f>
        <v>https://pbs.twimg.com/ext_tw_video_thumb/1611124609658589197/pu/img/Lqmzf5BE_W-9E3MI.jpg</v>
      </c>
      <c r="AW763" s="82" t="s">
        <v>5096</v>
      </c>
      <c r="AX763" s="82" t="s">
        <v>5096</v>
      </c>
      <c r="AY763" s="77"/>
      <c r="AZ763" s="82" t="s">
        <v>5615</v>
      </c>
      <c r="BA763" s="82" t="s">
        <v>5615</v>
      </c>
      <c r="BB763" s="82" t="s">
        <v>5615</v>
      </c>
      <c r="BC763" s="82" t="s">
        <v>5096</v>
      </c>
      <c r="BD763" s="82" t="s">
        <v>6035</v>
      </c>
      <c r="BE763" s="77"/>
      <c r="BF763" s="77"/>
      <c r="BG763" s="77"/>
      <c r="BH763" s="77"/>
      <c r="BI763" s="77"/>
    </row>
    <row r="764" spans="1:61" x14ac:dyDescent="0.25">
      <c r="A764" s="62" t="s">
        <v>476</v>
      </c>
      <c r="B764" s="62" t="s">
        <v>476</v>
      </c>
      <c r="C764" s="63"/>
      <c r="D764" s="64"/>
      <c r="E764" s="65"/>
      <c r="F764" s="66"/>
      <c r="G764" s="63"/>
      <c r="H764" s="67"/>
      <c r="I764" s="68"/>
      <c r="J764" s="68"/>
      <c r="K764" s="32"/>
      <c r="L764" s="75">
        <v>764</v>
      </c>
      <c r="M764" s="75"/>
      <c r="N764" s="70"/>
      <c r="O764" s="77" t="s">
        <v>179</v>
      </c>
      <c r="P764" s="79">
        <v>44944.10738425926</v>
      </c>
      <c r="Q764" s="77" t="s">
        <v>1313</v>
      </c>
      <c r="R764" s="77">
        <v>0</v>
      </c>
      <c r="S764" s="77">
        <v>0</v>
      </c>
      <c r="T764" s="77">
        <v>0</v>
      </c>
      <c r="U764" s="77">
        <v>0</v>
      </c>
      <c r="V764" s="77">
        <v>41</v>
      </c>
      <c r="W764" s="82" t="s">
        <v>1952</v>
      </c>
      <c r="X764" s="77"/>
      <c r="Y764" s="77"/>
      <c r="Z764" s="77"/>
      <c r="AA764" s="77" t="s">
        <v>2564</v>
      </c>
      <c r="AB764" s="77" t="s">
        <v>2713</v>
      </c>
      <c r="AC764" s="82" t="s">
        <v>2719</v>
      </c>
      <c r="AD764" s="77" t="s">
        <v>2752</v>
      </c>
      <c r="AE764" s="80" t="str">
        <f>HYPERLINK("https://twitter.com/heltonarcanjo2/status/1615538123479437316")</f>
        <v>https://twitter.com/heltonarcanjo2/status/1615538123479437316</v>
      </c>
      <c r="AF764" s="79">
        <v>44944.10738425926</v>
      </c>
      <c r="AG764" s="85">
        <v>44944</v>
      </c>
      <c r="AH764" s="82" t="s">
        <v>3511</v>
      </c>
      <c r="AI764" s="77" t="b">
        <v>0</v>
      </c>
      <c r="AJ764" s="77"/>
      <c r="AK764" s="77"/>
      <c r="AL764" s="77"/>
      <c r="AM764" s="77"/>
      <c r="AN764" s="77"/>
      <c r="AO764" s="77"/>
      <c r="AP764" s="77"/>
      <c r="AQ764" s="77" t="s">
        <v>4190</v>
      </c>
      <c r="AR764" s="77">
        <v>45003</v>
      </c>
      <c r="AS764" s="77"/>
      <c r="AT764" s="77"/>
      <c r="AU764" s="77"/>
      <c r="AV764" s="80" t="str">
        <f>HYPERLINK("https://pbs.twimg.com/ext_tw_video_thumb/1615538044970455040/pu/img/sC8pO7-pdKRsBzJ2.jpg")</f>
        <v>https://pbs.twimg.com/ext_tw_video_thumb/1615538044970455040/pu/img/sC8pO7-pdKRsBzJ2.jpg</v>
      </c>
      <c r="AW764" s="82" t="s">
        <v>5097</v>
      </c>
      <c r="AX764" s="82" t="s">
        <v>5097</v>
      </c>
      <c r="AY764" s="77"/>
      <c r="AZ764" s="82" t="s">
        <v>5615</v>
      </c>
      <c r="BA764" s="82" t="s">
        <v>5615</v>
      </c>
      <c r="BB764" s="82" t="s">
        <v>5615</v>
      </c>
      <c r="BC764" s="82" t="s">
        <v>5097</v>
      </c>
      <c r="BD764" s="82" t="s">
        <v>6035</v>
      </c>
      <c r="BE764" s="77"/>
      <c r="BF764" s="77"/>
      <c r="BG764" s="77"/>
      <c r="BH764" s="77"/>
      <c r="BI764" s="77"/>
    </row>
    <row r="765" spans="1:61" x14ac:dyDescent="0.25">
      <c r="A765" s="62" t="s">
        <v>477</v>
      </c>
      <c r="B765" s="62" t="s">
        <v>477</v>
      </c>
      <c r="C765" s="63"/>
      <c r="D765" s="64"/>
      <c r="E765" s="65"/>
      <c r="F765" s="66"/>
      <c r="G765" s="63"/>
      <c r="H765" s="67"/>
      <c r="I765" s="68"/>
      <c r="J765" s="68"/>
      <c r="K765" s="32"/>
      <c r="L765" s="75">
        <v>765</v>
      </c>
      <c r="M765" s="75"/>
      <c r="N765" s="70"/>
      <c r="O765" s="77" t="s">
        <v>179</v>
      </c>
      <c r="P765" s="79">
        <v>45067.558530092596</v>
      </c>
      <c r="Q765" s="77" t="s">
        <v>1314</v>
      </c>
      <c r="R765" s="77">
        <v>0</v>
      </c>
      <c r="S765" s="77">
        <v>0</v>
      </c>
      <c r="T765" s="77">
        <v>0</v>
      </c>
      <c r="U765" s="77">
        <v>0</v>
      </c>
      <c r="V765" s="77">
        <v>26</v>
      </c>
      <c r="W765" s="82" t="s">
        <v>1953</v>
      </c>
      <c r="X765" s="77"/>
      <c r="Y765" s="77"/>
      <c r="Z765" s="77"/>
      <c r="AA765" s="77"/>
      <c r="AB765" s="77"/>
      <c r="AC765" s="82" t="s">
        <v>2722</v>
      </c>
      <c r="AD765" s="77" t="s">
        <v>2754</v>
      </c>
      <c r="AE765" s="80" t="str">
        <f>HYPERLINK("https://twitter.com/sageousthoughts/status/1660275319176331266")</f>
        <v>https://twitter.com/sageousthoughts/status/1660275319176331266</v>
      </c>
      <c r="AF765" s="79">
        <v>45067.558530092596</v>
      </c>
      <c r="AG765" s="85">
        <v>45067</v>
      </c>
      <c r="AH765" s="82" t="s">
        <v>3512</v>
      </c>
      <c r="AI765" s="77"/>
      <c r="AJ765" s="77"/>
      <c r="AK765" s="77"/>
      <c r="AL765" s="77"/>
      <c r="AM765" s="77"/>
      <c r="AN765" s="77"/>
      <c r="AO765" s="77"/>
      <c r="AP765" s="77"/>
      <c r="AQ765" s="77"/>
      <c r="AR765" s="77"/>
      <c r="AS765" s="77"/>
      <c r="AT765" s="77"/>
      <c r="AU765" s="77"/>
      <c r="AV765" s="80" t="str">
        <f>HYPERLINK("https://pbs.twimg.com/profile_images/1561266924667162624/pXvjyAYE_normal.jpg")</f>
        <v>https://pbs.twimg.com/profile_images/1561266924667162624/pXvjyAYE_normal.jpg</v>
      </c>
      <c r="AW765" s="82" t="s">
        <v>5098</v>
      </c>
      <c r="AX765" s="82" t="s">
        <v>5098</v>
      </c>
      <c r="AY765" s="77"/>
      <c r="AZ765" s="82" t="s">
        <v>5615</v>
      </c>
      <c r="BA765" s="82" t="s">
        <v>5615</v>
      </c>
      <c r="BB765" s="82" t="s">
        <v>5615</v>
      </c>
      <c r="BC765" s="82" t="s">
        <v>5098</v>
      </c>
      <c r="BD765" s="82" t="s">
        <v>6036</v>
      </c>
      <c r="BE765" s="77"/>
      <c r="BF765" s="77"/>
      <c r="BG765" s="77"/>
      <c r="BH765" s="77"/>
      <c r="BI765" s="77"/>
    </row>
    <row r="766" spans="1:61" x14ac:dyDescent="0.25">
      <c r="A766" s="62" t="s">
        <v>478</v>
      </c>
      <c r="B766" s="62" t="s">
        <v>478</v>
      </c>
      <c r="C766" s="63"/>
      <c r="D766" s="64"/>
      <c r="E766" s="65"/>
      <c r="F766" s="66"/>
      <c r="G766" s="63"/>
      <c r="H766" s="67"/>
      <c r="I766" s="68"/>
      <c r="J766" s="68"/>
      <c r="K766" s="32"/>
      <c r="L766" s="75">
        <v>766</v>
      </c>
      <c r="M766" s="75"/>
      <c r="N766" s="70"/>
      <c r="O766" s="77" t="s">
        <v>179</v>
      </c>
      <c r="P766" s="79">
        <v>44946.875439814816</v>
      </c>
      <c r="Q766" s="77" t="s">
        <v>1315</v>
      </c>
      <c r="R766" s="77">
        <v>0</v>
      </c>
      <c r="S766" s="77">
        <v>0</v>
      </c>
      <c r="T766" s="77">
        <v>0</v>
      </c>
      <c r="U766" s="77">
        <v>0</v>
      </c>
      <c r="V766" s="77">
        <v>21</v>
      </c>
      <c r="W766" s="82" t="s">
        <v>1554</v>
      </c>
      <c r="X766" s="80" t="str">
        <f>HYPERLINK("https://investimentoobjetivo.com.br/mentoria-investimentos/")</f>
        <v>https://investimentoobjetivo.com.br/mentoria-investimentos/</v>
      </c>
      <c r="Y766" s="77" t="s">
        <v>2129</v>
      </c>
      <c r="Z766" s="77"/>
      <c r="AA766" s="77" t="s">
        <v>2565</v>
      </c>
      <c r="AB766" s="77" t="s">
        <v>2713</v>
      </c>
      <c r="AC766" s="82" t="s">
        <v>2721</v>
      </c>
      <c r="AD766" s="77" t="s">
        <v>2752</v>
      </c>
      <c r="AE766" s="80" t="str">
        <f>HYPERLINK("https://twitter.com/investimentoob1/status/1616541231856713736")</f>
        <v>https://twitter.com/investimentoob1/status/1616541231856713736</v>
      </c>
      <c r="AF766" s="79">
        <v>44946.875439814816</v>
      </c>
      <c r="AG766" s="85">
        <v>44946</v>
      </c>
      <c r="AH766" s="82" t="s">
        <v>3513</v>
      </c>
      <c r="AI766" s="77" t="b">
        <v>0</v>
      </c>
      <c r="AJ766" s="77"/>
      <c r="AK766" s="77"/>
      <c r="AL766" s="77"/>
      <c r="AM766" s="77"/>
      <c r="AN766" s="77"/>
      <c r="AO766" s="77"/>
      <c r="AP766" s="77"/>
      <c r="AQ766" s="77" t="s">
        <v>4191</v>
      </c>
      <c r="AR766" s="77">
        <v>18700</v>
      </c>
      <c r="AS766" s="77"/>
      <c r="AT766" s="77"/>
      <c r="AU766" s="77"/>
      <c r="AV766" s="80" t="str">
        <f>HYPERLINK("https://pbs.twimg.com/ext_tw_video_thumb/1616541185434157088/pu/img/XGH5aFB9Z3oDoDgO.jpg")</f>
        <v>https://pbs.twimg.com/ext_tw_video_thumb/1616541185434157088/pu/img/XGH5aFB9Z3oDoDgO.jpg</v>
      </c>
      <c r="AW766" s="82" t="s">
        <v>5099</v>
      </c>
      <c r="AX766" s="82" t="s">
        <v>5099</v>
      </c>
      <c r="AY766" s="77"/>
      <c r="AZ766" s="82" t="s">
        <v>5615</v>
      </c>
      <c r="BA766" s="82" t="s">
        <v>5615</v>
      </c>
      <c r="BB766" s="82" t="s">
        <v>5615</v>
      </c>
      <c r="BC766" s="82" t="s">
        <v>5099</v>
      </c>
      <c r="BD766" s="82" t="s">
        <v>6037</v>
      </c>
      <c r="BE766" s="77"/>
      <c r="BF766" s="77"/>
      <c r="BG766" s="77"/>
      <c r="BH766" s="77"/>
      <c r="BI766" s="77"/>
    </row>
    <row r="767" spans="1:61" x14ac:dyDescent="0.25">
      <c r="A767" s="62" t="s">
        <v>478</v>
      </c>
      <c r="B767" s="62" t="s">
        <v>478</v>
      </c>
      <c r="C767" s="63"/>
      <c r="D767" s="64"/>
      <c r="E767" s="65"/>
      <c r="F767" s="66"/>
      <c r="G767" s="63"/>
      <c r="H767" s="67"/>
      <c r="I767" s="68"/>
      <c r="J767" s="68"/>
      <c r="K767" s="32"/>
      <c r="L767" s="75">
        <v>767</v>
      </c>
      <c r="M767" s="75"/>
      <c r="N767" s="70"/>
      <c r="O767" s="77" t="s">
        <v>179</v>
      </c>
      <c r="P767" s="79">
        <v>45050.750613425924</v>
      </c>
      <c r="Q767" s="77" t="s">
        <v>1316</v>
      </c>
      <c r="R767" s="77">
        <v>0</v>
      </c>
      <c r="S767" s="77">
        <v>0</v>
      </c>
      <c r="T767" s="77">
        <v>0</v>
      </c>
      <c r="U767" s="77">
        <v>0</v>
      </c>
      <c r="V767" s="77">
        <v>28</v>
      </c>
      <c r="W767" s="82" t="s">
        <v>1954</v>
      </c>
      <c r="X767" s="77"/>
      <c r="Y767" s="77"/>
      <c r="Z767" s="77"/>
      <c r="AA767" s="77" t="s">
        <v>2566</v>
      </c>
      <c r="AB767" s="77" t="s">
        <v>2713</v>
      </c>
      <c r="AC767" s="82" t="s">
        <v>2721</v>
      </c>
      <c r="AD767" s="77" t="s">
        <v>2752</v>
      </c>
      <c r="AE767" s="80" t="str">
        <f>HYPERLINK("https://twitter.com/investimentoob1/status/1654184334159491074")</f>
        <v>https://twitter.com/investimentoob1/status/1654184334159491074</v>
      </c>
      <c r="AF767" s="79">
        <v>45050.750613425924</v>
      </c>
      <c r="AG767" s="85">
        <v>45050</v>
      </c>
      <c r="AH767" s="82" t="s">
        <v>3514</v>
      </c>
      <c r="AI767" s="77" t="b">
        <v>0</v>
      </c>
      <c r="AJ767" s="77"/>
      <c r="AK767" s="77"/>
      <c r="AL767" s="77"/>
      <c r="AM767" s="77"/>
      <c r="AN767" s="77"/>
      <c r="AO767" s="77"/>
      <c r="AP767" s="77"/>
      <c r="AQ767" s="77" t="s">
        <v>4192</v>
      </c>
      <c r="AR767" s="77">
        <v>34208</v>
      </c>
      <c r="AS767" s="77"/>
      <c r="AT767" s="77"/>
      <c r="AU767" s="77"/>
      <c r="AV767" s="80" t="str">
        <f>HYPERLINK("https://pbs.twimg.com/ext_tw_video_thumb/1654184308976898051/pu/img/Acg5wbe6WyMZkG1d.jpg")</f>
        <v>https://pbs.twimg.com/ext_tw_video_thumb/1654184308976898051/pu/img/Acg5wbe6WyMZkG1d.jpg</v>
      </c>
      <c r="AW767" s="82" t="s">
        <v>5100</v>
      </c>
      <c r="AX767" s="82" t="s">
        <v>5100</v>
      </c>
      <c r="AY767" s="77"/>
      <c r="AZ767" s="82" t="s">
        <v>5615</v>
      </c>
      <c r="BA767" s="82" t="s">
        <v>5615</v>
      </c>
      <c r="BB767" s="82" t="s">
        <v>5615</v>
      </c>
      <c r="BC767" s="82" t="s">
        <v>5100</v>
      </c>
      <c r="BD767" s="82" t="s">
        <v>6037</v>
      </c>
      <c r="BE767" s="77"/>
      <c r="BF767" s="77"/>
      <c r="BG767" s="77"/>
      <c r="BH767" s="77"/>
      <c r="BI767" s="77"/>
    </row>
    <row r="768" spans="1:61" x14ac:dyDescent="0.25">
      <c r="A768" s="62" t="s">
        <v>478</v>
      </c>
      <c r="B768" s="62" t="s">
        <v>478</v>
      </c>
      <c r="C768" s="63"/>
      <c r="D768" s="64"/>
      <c r="E768" s="65"/>
      <c r="F768" s="66"/>
      <c r="G768" s="63"/>
      <c r="H768" s="67"/>
      <c r="I768" s="68"/>
      <c r="J768" s="68"/>
      <c r="K768" s="32"/>
      <c r="L768" s="75">
        <v>768</v>
      </c>
      <c r="M768" s="75"/>
      <c r="N768" s="70"/>
      <c r="O768" s="77" t="s">
        <v>179</v>
      </c>
      <c r="P768" s="79">
        <v>45037.87572916667</v>
      </c>
      <c r="Q768" s="77" t="s">
        <v>1317</v>
      </c>
      <c r="R768" s="77">
        <v>0</v>
      </c>
      <c r="S768" s="77">
        <v>0</v>
      </c>
      <c r="T768" s="77">
        <v>0</v>
      </c>
      <c r="U768" s="77">
        <v>0</v>
      </c>
      <c r="V768" s="77">
        <v>40</v>
      </c>
      <c r="W768" s="82" t="s">
        <v>1955</v>
      </c>
      <c r="X768" s="77"/>
      <c r="Y768" s="77"/>
      <c r="Z768" s="77"/>
      <c r="AA768" s="77" t="s">
        <v>2567</v>
      </c>
      <c r="AB768" s="77" t="s">
        <v>2713</v>
      </c>
      <c r="AC768" s="82" t="s">
        <v>2721</v>
      </c>
      <c r="AD768" s="77" t="s">
        <v>2752</v>
      </c>
      <c r="AE768" s="80" t="str">
        <f>HYPERLINK("https://twitter.com/investimentoob1/status/1649518635633786885")</f>
        <v>https://twitter.com/investimentoob1/status/1649518635633786885</v>
      </c>
      <c r="AF768" s="79">
        <v>45037.87572916667</v>
      </c>
      <c r="AG768" s="85">
        <v>45037</v>
      </c>
      <c r="AH768" s="82" t="s">
        <v>3515</v>
      </c>
      <c r="AI768" s="77" t="b">
        <v>0</v>
      </c>
      <c r="AJ768" s="77"/>
      <c r="AK768" s="77"/>
      <c r="AL768" s="77"/>
      <c r="AM768" s="77"/>
      <c r="AN768" s="77"/>
      <c r="AO768" s="77"/>
      <c r="AP768" s="77"/>
      <c r="AQ768" s="77" t="s">
        <v>4193</v>
      </c>
      <c r="AR768" s="77">
        <v>38208</v>
      </c>
      <c r="AS768" s="77"/>
      <c r="AT768" s="77"/>
      <c r="AU768" s="77"/>
      <c r="AV768" s="80" t="str">
        <f>HYPERLINK("https://pbs.twimg.com/ext_tw_video_thumb/1649518586824728580/pu/img/mWA5Nppyys6XcjnI.jpg")</f>
        <v>https://pbs.twimg.com/ext_tw_video_thumb/1649518586824728580/pu/img/mWA5Nppyys6XcjnI.jpg</v>
      </c>
      <c r="AW768" s="82" t="s">
        <v>5101</v>
      </c>
      <c r="AX768" s="82" t="s">
        <v>5101</v>
      </c>
      <c r="AY768" s="77"/>
      <c r="AZ768" s="82" t="s">
        <v>5615</v>
      </c>
      <c r="BA768" s="82" t="s">
        <v>5615</v>
      </c>
      <c r="BB768" s="82" t="s">
        <v>5615</v>
      </c>
      <c r="BC768" s="82" t="s">
        <v>5101</v>
      </c>
      <c r="BD768" s="82" t="s">
        <v>6037</v>
      </c>
      <c r="BE768" s="77"/>
      <c r="BF768" s="77"/>
      <c r="BG768" s="77"/>
      <c r="BH768" s="77"/>
      <c r="BI768" s="77"/>
    </row>
    <row r="769" spans="1:61" x14ac:dyDescent="0.25">
      <c r="A769" s="62" t="s">
        <v>478</v>
      </c>
      <c r="B769" s="62" t="s">
        <v>478</v>
      </c>
      <c r="C769" s="63"/>
      <c r="D769" s="64"/>
      <c r="E769" s="65"/>
      <c r="F769" s="66"/>
      <c r="G769" s="63"/>
      <c r="H769" s="67"/>
      <c r="I769" s="68"/>
      <c r="J769" s="68"/>
      <c r="K769" s="32"/>
      <c r="L769" s="75">
        <v>769</v>
      </c>
      <c r="M769" s="75"/>
      <c r="N769" s="70"/>
      <c r="O769" s="77" t="s">
        <v>179</v>
      </c>
      <c r="P769" s="79">
        <v>45036.750706018516</v>
      </c>
      <c r="Q769" s="77" t="s">
        <v>1318</v>
      </c>
      <c r="R769" s="77">
        <v>0</v>
      </c>
      <c r="S769" s="77">
        <v>0</v>
      </c>
      <c r="T769" s="77">
        <v>0</v>
      </c>
      <c r="U769" s="77">
        <v>0</v>
      </c>
      <c r="V769" s="77">
        <v>17</v>
      </c>
      <c r="W769" s="82" t="s">
        <v>1956</v>
      </c>
      <c r="X769" s="77"/>
      <c r="Y769" s="77"/>
      <c r="Z769" s="77"/>
      <c r="AA769" s="77" t="s">
        <v>2568</v>
      </c>
      <c r="AB769" s="77" t="s">
        <v>2713</v>
      </c>
      <c r="AC769" s="82" t="s">
        <v>2721</v>
      </c>
      <c r="AD769" s="77" t="s">
        <v>2752</v>
      </c>
      <c r="AE769" s="80" t="str">
        <f>HYPERLINK("https://twitter.com/investimentoob1/status/1649110937880625152")</f>
        <v>https://twitter.com/investimentoob1/status/1649110937880625152</v>
      </c>
      <c r="AF769" s="79">
        <v>45036.750706018516</v>
      </c>
      <c r="AG769" s="85">
        <v>45036</v>
      </c>
      <c r="AH769" s="82" t="s">
        <v>3516</v>
      </c>
      <c r="AI769" s="77" t="b">
        <v>0</v>
      </c>
      <c r="AJ769" s="77"/>
      <c r="AK769" s="77"/>
      <c r="AL769" s="77"/>
      <c r="AM769" s="77"/>
      <c r="AN769" s="77"/>
      <c r="AO769" s="77"/>
      <c r="AP769" s="77"/>
      <c r="AQ769" s="77" t="s">
        <v>4194</v>
      </c>
      <c r="AR769" s="77">
        <v>59811</v>
      </c>
      <c r="AS769" s="77"/>
      <c r="AT769" s="77"/>
      <c r="AU769" s="77"/>
      <c r="AV769" s="80" t="str">
        <f>HYPERLINK("https://pbs.twimg.com/ext_tw_video_thumb/1649110905748062218/pu/img/Zr9v0OkedDZP7zCG.jpg")</f>
        <v>https://pbs.twimg.com/ext_tw_video_thumb/1649110905748062218/pu/img/Zr9v0OkedDZP7zCG.jpg</v>
      </c>
      <c r="AW769" s="82" t="s">
        <v>5102</v>
      </c>
      <c r="AX769" s="82" t="s">
        <v>5102</v>
      </c>
      <c r="AY769" s="77"/>
      <c r="AZ769" s="82" t="s">
        <v>5615</v>
      </c>
      <c r="BA769" s="82" t="s">
        <v>5615</v>
      </c>
      <c r="BB769" s="82" t="s">
        <v>5615</v>
      </c>
      <c r="BC769" s="82" t="s">
        <v>5102</v>
      </c>
      <c r="BD769" s="82" t="s">
        <v>6037</v>
      </c>
      <c r="BE769" s="77"/>
      <c r="BF769" s="77"/>
      <c r="BG769" s="77"/>
      <c r="BH769" s="77"/>
      <c r="BI769" s="77"/>
    </row>
    <row r="770" spans="1:61" x14ac:dyDescent="0.25">
      <c r="A770" s="62" t="s">
        <v>478</v>
      </c>
      <c r="B770" s="62" t="s">
        <v>478</v>
      </c>
      <c r="C770" s="63"/>
      <c r="D770" s="64"/>
      <c r="E770" s="65"/>
      <c r="F770" s="66"/>
      <c r="G770" s="63"/>
      <c r="H770" s="67"/>
      <c r="I770" s="68"/>
      <c r="J770" s="68"/>
      <c r="K770" s="32"/>
      <c r="L770" s="75">
        <v>770</v>
      </c>
      <c r="M770" s="75"/>
      <c r="N770" s="70"/>
      <c r="O770" s="77" t="s">
        <v>179</v>
      </c>
      <c r="P770" s="79">
        <v>45033.750671296293</v>
      </c>
      <c r="Q770" s="77" t="s">
        <v>1319</v>
      </c>
      <c r="R770" s="77">
        <v>0</v>
      </c>
      <c r="S770" s="77">
        <v>0</v>
      </c>
      <c r="T770" s="77">
        <v>0</v>
      </c>
      <c r="U770" s="77">
        <v>0</v>
      </c>
      <c r="V770" s="77">
        <v>39</v>
      </c>
      <c r="W770" s="82" t="s">
        <v>1957</v>
      </c>
      <c r="X770" s="77"/>
      <c r="Y770" s="77"/>
      <c r="Z770" s="77"/>
      <c r="AA770" s="77" t="s">
        <v>2569</v>
      </c>
      <c r="AB770" s="77" t="s">
        <v>2713</v>
      </c>
      <c r="AC770" s="82" t="s">
        <v>2721</v>
      </c>
      <c r="AD770" s="77" t="s">
        <v>2752</v>
      </c>
      <c r="AE770" s="80" t="str">
        <f>HYPERLINK("https://twitter.com/investimentoob1/status/1648023762489540610")</f>
        <v>https://twitter.com/investimentoob1/status/1648023762489540610</v>
      </c>
      <c r="AF770" s="79">
        <v>45033.750671296293</v>
      </c>
      <c r="AG770" s="85">
        <v>45033</v>
      </c>
      <c r="AH770" s="82" t="s">
        <v>3517</v>
      </c>
      <c r="AI770" s="77" t="b">
        <v>0</v>
      </c>
      <c r="AJ770" s="77"/>
      <c r="AK770" s="77"/>
      <c r="AL770" s="77"/>
      <c r="AM770" s="77"/>
      <c r="AN770" s="77"/>
      <c r="AO770" s="77"/>
      <c r="AP770" s="77"/>
      <c r="AQ770" s="77" t="s">
        <v>4195</v>
      </c>
      <c r="AR770" s="77">
        <v>57250</v>
      </c>
      <c r="AS770" s="77"/>
      <c r="AT770" s="77"/>
      <c r="AU770" s="77"/>
      <c r="AV770" s="80" t="str">
        <f>HYPERLINK("https://pbs.twimg.com/ext_tw_video_thumb/1648023712954810368/pu/img/kJjLmkTN9neYntCd.jpg")</f>
        <v>https://pbs.twimg.com/ext_tw_video_thumb/1648023712954810368/pu/img/kJjLmkTN9neYntCd.jpg</v>
      </c>
      <c r="AW770" s="82" t="s">
        <v>5103</v>
      </c>
      <c r="AX770" s="82" t="s">
        <v>5103</v>
      </c>
      <c r="AY770" s="77"/>
      <c r="AZ770" s="82" t="s">
        <v>5615</v>
      </c>
      <c r="BA770" s="82" t="s">
        <v>5615</v>
      </c>
      <c r="BB770" s="82" t="s">
        <v>5615</v>
      </c>
      <c r="BC770" s="82" t="s">
        <v>5103</v>
      </c>
      <c r="BD770" s="82" t="s">
        <v>6037</v>
      </c>
      <c r="BE770" s="77"/>
      <c r="BF770" s="77"/>
      <c r="BG770" s="77"/>
      <c r="BH770" s="77"/>
      <c r="BI770" s="77"/>
    </row>
    <row r="771" spans="1:61" x14ac:dyDescent="0.25">
      <c r="A771" s="62" t="s">
        <v>478</v>
      </c>
      <c r="B771" s="62" t="s">
        <v>478</v>
      </c>
      <c r="C771" s="63"/>
      <c r="D771" s="64"/>
      <c r="E771" s="65"/>
      <c r="F771" s="66"/>
      <c r="G771" s="63"/>
      <c r="H771" s="67"/>
      <c r="I771" s="68"/>
      <c r="J771" s="68"/>
      <c r="K771" s="32"/>
      <c r="L771" s="75">
        <v>771</v>
      </c>
      <c r="M771" s="75"/>
      <c r="N771" s="70"/>
      <c r="O771" s="77" t="s">
        <v>179</v>
      </c>
      <c r="P771" s="79">
        <v>44966.875393518516</v>
      </c>
      <c r="Q771" s="77" t="s">
        <v>1320</v>
      </c>
      <c r="R771" s="77">
        <v>0</v>
      </c>
      <c r="S771" s="77">
        <v>0</v>
      </c>
      <c r="T771" s="77">
        <v>0</v>
      </c>
      <c r="U771" s="77">
        <v>0</v>
      </c>
      <c r="V771" s="77">
        <v>5</v>
      </c>
      <c r="W771" s="82" t="s">
        <v>1958</v>
      </c>
      <c r="X771" s="80" t="str">
        <f>HYPERLINK("https://investimentoobjetivo.com.br/metodo-ilf/")</f>
        <v>https://investimentoobjetivo.com.br/metodo-ilf/</v>
      </c>
      <c r="Y771" s="77" t="s">
        <v>2129</v>
      </c>
      <c r="Z771" s="77"/>
      <c r="AA771" s="77" t="s">
        <v>2570</v>
      </c>
      <c r="AB771" s="77" t="s">
        <v>2714</v>
      </c>
      <c r="AC771" s="82" t="s">
        <v>2721</v>
      </c>
      <c r="AD771" s="77" t="s">
        <v>2752</v>
      </c>
      <c r="AE771" s="80" t="str">
        <f>HYPERLINK("https://twitter.com/investimentoob1/status/1623788975457533952")</f>
        <v>https://twitter.com/investimentoob1/status/1623788975457533952</v>
      </c>
      <c r="AF771" s="79">
        <v>44966.875393518516</v>
      </c>
      <c r="AG771" s="85">
        <v>44966</v>
      </c>
      <c r="AH771" s="82" t="s">
        <v>3518</v>
      </c>
      <c r="AI771" s="77" t="b">
        <v>0</v>
      </c>
      <c r="AJ771" s="77"/>
      <c r="AK771" s="77"/>
      <c r="AL771" s="77"/>
      <c r="AM771" s="77"/>
      <c r="AN771" s="77"/>
      <c r="AO771" s="77"/>
      <c r="AP771" s="77"/>
      <c r="AQ771" s="77" t="s">
        <v>4196</v>
      </c>
      <c r="AR771" s="77"/>
      <c r="AS771" s="77"/>
      <c r="AT771" s="77"/>
      <c r="AU771" s="77"/>
      <c r="AV771" s="80" t="str">
        <f>HYPERLINK("https://pbs.twimg.com/media/Fojbd8zWcAQrhW0.jpg")</f>
        <v>https://pbs.twimg.com/media/Fojbd8zWcAQrhW0.jpg</v>
      </c>
      <c r="AW771" s="82" t="s">
        <v>5104</v>
      </c>
      <c r="AX771" s="82" t="s">
        <v>5104</v>
      </c>
      <c r="AY771" s="77"/>
      <c r="AZ771" s="82" t="s">
        <v>5615</v>
      </c>
      <c r="BA771" s="82" t="s">
        <v>5615</v>
      </c>
      <c r="BB771" s="82" t="s">
        <v>5615</v>
      </c>
      <c r="BC771" s="82" t="s">
        <v>5104</v>
      </c>
      <c r="BD771" s="82" t="s">
        <v>6037</v>
      </c>
      <c r="BE771" s="77"/>
      <c r="BF771" s="77"/>
      <c r="BG771" s="77"/>
      <c r="BH771" s="77"/>
      <c r="BI771" s="77"/>
    </row>
    <row r="772" spans="1:61" x14ac:dyDescent="0.25">
      <c r="A772" s="62" t="s">
        <v>478</v>
      </c>
      <c r="B772" s="62" t="s">
        <v>478</v>
      </c>
      <c r="C772" s="63"/>
      <c r="D772" s="64"/>
      <c r="E772" s="65"/>
      <c r="F772" s="66"/>
      <c r="G772" s="63"/>
      <c r="H772" s="67"/>
      <c r="I772" s="68"/>
      <c r="J772" s="68"/>
      <c r="K772" s="32"/>
      <c r="L772" s="75">
        <v>772</v>
      </c>
      <c r="M772" s="75"/>
      <c r="N772" s="70"/>
      <c r="O772" s="77" t="s">
        <v>179</v>
      </c>
      <c r="P772" s="79">
        <v>45109.750532407408</v>
      </c>
      <c r="Q772" s="77" t="s">
        <v>1321</v>
      </c>
      <c r="R772" s="77">
        <v>0</v>
      </c>
      <c r="S772" s="77">
        <v>0</v>
      </c>
      <c r="T772" s="77">
        <v>0</v>
      </c>
      <c r="U772" s="77">
        <v>0</v>
      </c>
      <c r="V772" s="77">
        <v>33</v>
      </c>
      <c r="W772" s="82" t="s">
        <v>1959</v>
      </c>
      <c r="X772" s="77"/>
      <c r="Y772" s="77"/>
      <c r="Z772" s="77"/>
      <c r="AA772" s="77" t="s">
        <v>2571</v>
      </c>
      <c r="AB772" s="77" t="s">
        <v>2713</v>
      </c>
      <c r="AC772" s="82" t="s">
        <v>2721</v>
      </c>
      <c r="AD772" s="77" t="s">
        <v>2752</v>
      </c>
      <c r="AE772" s="80" t="str">
        <f>HYPERLINK("https://twitter.com/investimentoob1/status/1675565191302459393")</f>
        <v>https://twitter.com/investimentoob1/status/1675565191302459393</v>
      </c>
      <c r="AF772" s="79">
        <v>45109.750532407408</v>
      </c>
      <c r="AG772" s="85">
        <v>45109</v>
      </c>
      <c r="AH772" s="82" t="s">
        <v>3519</v>
      </c>
      <c r="AI772" s="77" t="b">
        <v>0</v>
      </c>
      <c r="AJ772" s="77"/>
      <c r="AK772" s="77"/>
      <c r="AL772" s="77"/>
      <c r="AM772" s="77"/>
      <c r="AN772" s="77"/>
      <c r="AO772" s="77"/>
      <c r="AP772" s="77"/>
      <c r="AQ772" s="77" t="s">
        <v>4197</v>
      </c>
      <c r="AR772" s="77">
        <v>11066</v>
      </c>
      <c r="AS772" s="77"/>
      <c r="AT772" s="77"/>
      <c r="AU772" s="77"/>
      <c r="AV772" s="80" t="str">
        <f>HYPERLINK("https://pbs.twimg.com/ext_tw_video_thumb/1675565167877279744/pu/img/ivcnROSUT1XETQio.jpg")</f>
        <v>https://pbs.twimg.com/ext_tw_video_thumb/1675565167877279744/pu/img/ivcnROSUT1XETQio.jpg</v>
      </c>
      <c r="AW772" s="82" t="s">
        <v>5105</v>
      </c>
      <c r="AX772" s="82" t="s">
        <v>5105</v>
      </c>
      <c r="AY772" s="77"/>
      <c r="AZ772" s="82" t="s">
        <v>5615</v>
      </c>
      <c r="BA772" s="82" t="s">
        <v>5615</v>
      </c>
      <c r="BB772" s="82" t="s">
        <v>5615</v>
      </c>
      <c r="BC772" s="82" t="s">
        <v>5105</v>
      </c>
      <c r="BD772" s="82" t="s">
        <v>6037</v>
      </c>
      <c r="BE772" s="77"/>
      <c r="BF772" s="77"/>
      <c r="BG772" s="77"/>
      <c r="BH772" s="77"/>
      <c r="BI772" s="77"/>
    </row>
    <row r="773" spans="1:61" x14ac:dyDescent="0.25">
      <c r="A773" s="62" t="s">
        <v>478</v>
      </c>
      <c r="B773" s="62" t="s">
        <v>478</v>
      </c>
      <c r="C773" s="63"/>
      <c r="D773" s="64"/>
      <c r="E773" s="65"/>
      <c r="F773" s="66"/>
      <c r="G773" s="63"/>
      <c r="H773" s="67"/>
      <c r="I773" s="68"/>
      <c r="J773" s="68"/>
      <c r="K773" s="32"/>
      <c r="L773" s="75">
        <v>773</v>
      </c>
      <c r="M773" s="75"/>
      <c r="N773" s="70"/>
      <c r="O773" s="77" t="s">
        <v>179</v>
      </c>
      <c r="P773" s="79">
        <v>45109.500590277778</v>
      </c>
      <c r="Q773" s="77" t="s">
        <v>1322</v>
      </c>
      <c r="R773" s="77">
        <v>0</v>
      </c>
      <c r="S773" s="77">
        <v>0</v>
      </c>
      <c r="T773" s="77">
        <v>0</v>
      </c>
      <c r="U773" s="77">
        <v>0</v>
      </c>
      <c r="V773" s="77">
        <v>38</v>
      </c>
      <c r="W773" s="82" t="s">
        <v>1960</v>
      </c>
      <c r="X773" s="77"/>
      <c r="Y773" s="77"/>
      <c r="Z773" s="77"/>
      <c r="AA773" s="77" t="s">
        <v>2572</v>
      </c>
      <c r="AB773" s="77" t="s">
        <v>2713</v>
      </c>
      <c r="AC773" s="82" t="s">
        <v>2721</v>
      </c>
      <c r="AD773" s="77" t="s">
        <v>2752</v>
      </c>
      <c r="AE773" s="80" t="str">
        <f>HYPERLINK("https://twitter.com/investimentoob1/status/1675474616083513344")</f>
        <v>https://twitter.com/investimentoob1/status/1675474616083513344</v>
      </c>
      <c r="AF773" s="79">
        <v>45109.500590277778</v>
      </c>
      <c r="AG773" s="85">
        <v>45109</v>
      </c>
      <c r="AH773" s="82" t="s">
        <v>3520</v>
      </c>
      <c r="AI773" s="77" t="b">
        <v>0</v>
      </c>
      <c r="AJ773" s="77"/>
      <c r="AK773" s="77"/>
      <c r="AL773" s="77"/>
      <c r="AM773" s="77"/>
      <c r="AN773" s="77"/>
      <c r="AO773" s="77"/>
      <c r="AP773" s="77"/>
      <c r="AQ773" s="77" t="s">
        <v>4198</v>
      </c>
      <c r="AR773" s="77">
        <v>11033</v>
      </c>
      <c r="AS773" s="77"/>
      <c r="AT773" s="77"/>
      <c r="AU773" s="77"/>
      <c r="AV773" s="80" t="str">
        <f>HYPERLINK("https://pbs.twimg.com/ext_tw_video_thumb/1675474592050102274/pu/img/jQMRj01J3IB9DaNz.jpg")</f>
        <v>https://pbs.twimg.com/ext_tw_video_thumb/1675474592050102274/pu/img/jQMRj01J3IB9DaNz.jpg</v>
      </c>
      <c r="AW773" s="82" t="s">
        <v>5106</v>
      </c>
      <c r="AX773" s="82" t="s">
        <v>5106</v>
      </c>
      <c r="AY773" s="77"/>
      <c r="AZ773" s="82" t="s">
        <v>5615</v>
      </c>
      <c r="BA773" s="82" t="s">
        <v>5615</v>
      </c>
      <c r="BB773" s="82" t="s">
        <v>5615</v>
      </c>
      <c r="BC773" s="82" t="s">
        <v>5106</v>
      </c>
      <c r="BD773" s="82" t="s">
        <v>6037</v>
      </c>
      <c r="BE773" s="77"/>
      <c r="BF773" s="77"/>
      <c r="BG773" s="77"/>
      <c r="BH773" s="77"/>
      <c r="BI773" s="77"/>
    </row>
    <row r="774" spans="1:61" x14ac:dyDescent="0.25">
      <c r="A774" s="62" t="s">
        <v>478</v>
      </c>
      <c r="B774" s="62" t="s">
        <v>478</v>
      </c>
      <c r="C774" s="63"/>
      <c r="D774" s="64"/>
      <c r="E774" s="65"/>
      <c r="F774" s="66"/>
      <c r="G774" s="63"/>
      <c r="H774" s="67"/>
      <c r="I774" s="68"/>
      <c r="J774" s="68"/>
      <c r="K774" s="32"/>
      <c r="L774" s="75">
        <v>774</v>
      </c>
      <c r="M774" s="75"/>
      <c r="N774" s="70"/>
      <c r="O774" s="77" t="s">
        <v>179</v>
      </c>
      <c r="P774" s="79">
        <v>45108.792222222219</v>
      </c>
      <c r="Q774" s="77" t="s">
        <v>1323</v>
      </c>
      <c r="R774" s="77">
        <v>0</v>
      </c>
      <c r="S774" s="77">
        <v>0</v>
      </c>
      <c r="T774" s="77">
        <v>0</v>
      </c>
      <c r="U774" s="77">
        <v>0</v>
      </c>
      <c r="V774" s="77">
        <v>30</v>
      </c>
      <c r="W774" s="82" t="s">
        <v>1959</v>
      </c>
      <c r="X774" s="77"/>
      <c r="Y774" s="77"/>
      <c r="Z774" s="77"/>
      <c r="AA774" s="77" t="s">
        <v>2573</v>
      </c>
      <c r="AB774" s="77" t="s">
        <v>2713</v>
      </c>
      <c r="AC774" s="82" t="s">
        <v>2721</v>
      </c>
      <c r="AD774" s="77" t="s">
        <v>2752</v>
      </c>
      <c r="AE774" s="80" t="str">
        <f>HYPERLINK("https://twitter.com/investimentoob1/status/1675217911202422786")</f>
        <v>https://twitter.com/investimentoob1/status/1675217911202422786</v>
      </c>
      <c r="AF774" s="79">
        <v>45108.792222222219</v>
      </c>
      <c r="AG774" s="85">
        <v>45108</v>
      </c>
      <c r="AH774" s="82" t="s">
        <v>3521</v>
      </c>
      <c r="AI774" s="77" t="b">
        <v>0</v>
      </c>
      <c r="AJ774" s="77"/>
      <c r="AK774" s="77"/>
      <c r="AL774" s="77"/>
      <c r="AM774" s="77"/>
      <c r="AN774" s="77"/>
      <c r="AO774" s="77"/>
      <c r="AP774" s="77"/>
      <c r="AQ774" s="77" t="s">
        <v>4199</v>
      </c>
      <c r="AR774" s="77">
        <v>11066</v>
      </c>
      <c r="AS774" s="77"/>
      <c r="AT774" s="77"/>
      <c r="AU774" s="77"/>
      <c r="AV774" s="80" t="str">
        <f>HYPERLINK("https://pbs.twimg.com/ext_tw_video_thumb/1675217887957512193/pu/img/kcG9EO-zKohY4sgu.jpg")</f>
        <v>https://pbs.twimg.com/ext_tw_video_thumb/1675217887957512193/pu/img/kcG9EO-zKohY4sgu.jpg</v>
      </c>
      <c r="AW774" s="82" t="s">
        <v>5107</v>
      </c>
      <c r="AX774" s="82" t="s">
        <v>5107</v>
      </c>
      <c r="AY774" s="77"/>
      <c r="AZ774" s="82" t="s">
        <v>5615</v>
      </c>
      <c r="BA774" s="82" t="s">
        <v>5615</v>
      </c>
      <c r="BB774" s="82" t="s">
        <v>5615</v>
      </c>
      <c r="BC774" s="82" t="s">
        <v>5107</v>
      </c>
      <c r="BD774" s="82" t="s">
        <v>6037</v>
      </c>
      <c r="BE774" s="77"/>
      <c r="BF774" s="77"/>
      <c r="BG774" s="77"/>
      <c r="BH774" s="77"/>
      <c r="BI774" s="77"/>
    </row>
    <row r="775" spans="1:61" x14ac:dyDescent="0.25">
      <c r="A775" s="62" t="s">
        <v>478</v>
      </c>
      <c r="B775" s="62" t="s">
        <v>478</v>
      </c>
      <c r="C775" s="63"/>
      <c r="D775" s="64"/>
      <c r="E775" s="65"/>
      <c r="F775" s="66"/>
      <c r="G775" s="63"/>
      <c r="H775" s="67"/>
      <c r="I775" s="68"/>
      <c r="J775" s="68"/>
      <c r="K775" s="32"/>
      <c r="L775" s="75">
        <v>775</v>
      </c>
      <c r="M775" s="75"/>
      <c r="N775" s="70"/>
      <c r="O775" s="77" t="s">
        <v>179</v>
      </c>
      <c r="P775" s="79">
        <v>45107.500601851854</v>
      </c>
      <c r="Q775" s="77" t="s">
        <v>1324</v>
      </c>
      <c r="R775" s="77">
        <v>0</v>
      </c>
      <c r="S775" s="77">
        <v>0</v>
      </c>
      <c r="T775" s="77">
        <v>0</v>
      </c>
      <c r="U775" s="77">
        <v>0</v>
      </c>
      <c r="V775" s="77">
        <v>11</v>
      </c>
      <c r="W775" s="82" t="s">
        <v>1960</v>
      </c>
      <c r="X775" s="77"/>
      <c r="Y775" s="77"/>
      <c r="Z775" s="77"/>
      <c r="AA775" s="77" t="s">
        <v>2574</v>
      </c>
      <c r="AB775" s="77" t="s">
        <v>2713</v>
      </c>
      <c r="AC775" s="82" t="s">
        <v>2721</v>
      </c>
      <c r="AD775" s="77" t="s">
        <v>2752</v>
      </c>
      <c r="AE775" s="80" t="str">
        <f>HYPERLINK("https://twitter.com/investimentoob1/status/1674749844311666688")</f>
        <v>https://twitter.com/investimentoob1/status/1674749844311666688</v>
      </c>
      <c r="AF775" s="79">
        <v>45107.500601851854</v>
      </c>
      <c r="AG775" s="85">
        <v>45107</v>
      </c>
      <c r="AH775" s="82" t="s">
        <v>3522</v>
      </c>
      <c r="AI775" s="77" t="b">
        <v>0</v>
      </c>
      <c r="AJ775" s="77"/>
      <c r="AK775" s="77"/>
      <c r="AL775" s="77"/>
      <c r="AM775" s="77"/>
      <c r="AN775" s="77"/>
      <c r="AO775" s="77"/>
      <c r="AP775" s="77"/>
      <c r="AQ775" s="77" t="s">
        <v>4200</v>
      </c>
      <c r="AR775" s="77">
        <v>11033</v>
      </c>
      <c r="AS775" s="77"/>
      <c r="AT775" s="77"/>
      <c r="AU775" s="77"/>
      <c r="AV775" s="80" t="str">
        <f>HYPERLINK("https://pbs.twimg.com/ext_tw_video_thumb/1674749821230407680/pu/img/U9lNIxKdZ_W2hmSp.jpg")</f>
        <v>https://pbs.twimg.com/ext_tw_video_thumb/1674749821230407680/pu/img/U9lNIxKdZ_W2hmSp.jpg</v>
      </c>
      <c r="AW775" s="82" t="s">
        <v>5108</v>
      </c>
      <c r="AX775" s="82" t="s">
        <v>5108</v>
      </c>
      <c r="AY775" s="77"/>
      <c r="AZ775" s="82" t="s">
        <v>5615</v>
      </c>
      <c r="BA775" s="82" t="s">
        <v>5615</v>
      </c>
      <c r="BB775" s="82" t="s">
        <v>5615</v>
      </c>
      <c r="BC775" s="82" t="s">
        <v>5108</v>
      </c>
      <c r="BD775" s="82" t="s">
        <v>6037</v>
      </c>
      <c r="BE775" s="77"/>
      <c r="BF775" s="77"/>
      <c r="BG775" s="77"/>
      <c r="BH775" s="77"/>
      <c r="BI775" s="77"/>
    </row>
    <row r="776" spans="1:61" x14ac:dyDescent="0.25">
      <c r="A776" s="62" t="s">
        <v>478</v>
      </c>
      <c r="B776" s="62" t="s">
        <v>478</v>
      </c>
      <c r="C776" s="63"/>
      <c r="D776" s="64"/>
      <c r="E776" s="65"/>
      <c r="F776" s="66"/>
      <c r="G776" s="63"/>
      <c r="H776" s="67"/>
      <c r="I776" s="68"/>
      <c r="J776" s="68"/>
      <c r="K776" s="32"/>
      <c r="L776" s="75">
        <v>776</v>
      </c>
      <c r="M776" s="75"/>
      <c r="N776" s="70"/>
      <c r="O776" s="77" t="s">
        <v>179</v>
      </c>
      <c r="P776" s="79">
        <v>45106.70890046296</v>
      </c>
      <c r="Q776" s="77" t="s">
        <v>1325</v>
      </c>
      <c r="R776" s="77">
        <v>0</v>
      </c>
      <c r="S776" s="77">
        <v>0</v>
      </c>
      <c r="T776" s="77">
        <v>0</v>
      </c>
      <c r="U776" s="77">
        <v>0</v>
      </c>
      <c r="V776" s="77">
        <v>19</v>
      </c>
      <c r="W776" s="82" t="s">
        <v>1959</v>
      </c>
      <c r="X776" s="77"/>
      <c r="Y776" s="77"/>
      <c r="Z776" s="77"/>
      <c r="AA776" s="77" t="s">
        <v>2575</v>
      </c>
      <c r="AB776" s="77" t="s">
        <v>2713</v>
      </c>
      <c r="AC776" s="82" t="s">
        <v>2721</v>
      </c>
      <c r="AD776" s="77" t="s">
        <v>2752</v>
      </c>
      <c r="AE776" s="80" t="str">
        <f>HYPERLINK("https://twitter.com/investimentoob1/status/1674462939963699216")</f>
        <v>https://twitter.com/investimentoob1/status/1674462939963699216</v>
      </c>
      <c r="AF776" s="79">
        <v>45106.70890046296</v>
      </c>
      <c r="AG776" s="85">
        <v>45106</v>
      </c>
      <c r="AH776" s="82" t="s">
        <v>3523</v>
      </c>
      <c r="AI776" s="77" t="b">
        <v>0</v>
      </c>
      <c r="AJ776" s="77"/>
      <c r="AK776" s="77"/>
      <c r="AL776" s="77"/>
      <c r="AM776" s="77"/>
      <c r="AN776" s="77"/>
      <c r="AO776" s="77"/>
      <c r="AP776" s="77"/>
      <c r="AQ776" s="77" t="s">
        <v>4201</v>
      </c>
      <c r="AR776" s="77">
        <v>11066</v>
      </c>
      <c r="AS776" s="77"/>
      <c r="AT776" s="77"/>
      <c r="AU776" s="77"/>
      <c r="AV776" s="80" t="str">
        <f>HYPERLINK("https://pbs.twimg.com/ext_tw_video_thumb/1674462915707928576/pu/img/eh1iXtBijUdYXH4u.jpg")</f>
        <v>https://pbs.twimg.com/ext_tw_video_thumb/1674462915707928576/pu/img/eh1iXtBijUdYXH4u.jpg</v>
      </c>
      <c r="AW776" s="82" t="s">
        <v>5109</v>
      </c>
      <c r="AX776" s="82" t="s">
        <v>5109</v>
      </c>
      <c r="AY776" s="77"/>
      <c r="AZ776" s="82" t="s">
        <v>5615</v>
      </c>
      <c r="BA776" s="82" t="s">
        <v>5615</v>
      </c>
      <c r="BB776" s="82" t="s">
        <v>5615</v>
      </c>
      <c r="BC776" s="82" t="s">
        <v>5109</v>
      </c>
      <c r="BD776" s="82" t="s">
        <v>6037</v>
      </c>
      <c r="BE776" s="77"/>
      <c r="BF776" s="77"/>
      <c r="BG776" s="77"/>
      <c r="BH776" s="77"/>
      <c r="BI776" s="77"/>
    </row>
    <row r="777" spans="1:61" x14ac:dyDescent="0.25">
      <c r="A777" s="62" t="s">
        <v>478</v>
      </c>
      <c r="B777" s="62" t="s">
        <v>478</v>
      </c>
      <c r="C777" s="63"/>
      <c r="D777" s="64"/>
      <c r="E777" s="65"/>
      <c r="F777" s="66"/>
      <c r="G777" s="63"/>
      <c r="H777" s="67"/>
      <c r="I777" s="68"/>
      <c r="J777" s="68"/>
      <c r="K777" s="32"/>
      <c r="L777" s="75">
        <v>777</v>
      </c>
      <c r="M777" s="75"/>
      <c r="N777" s="70"/>
      <c r="O777" s="77" t="s">
        <v>179</v>
      </c>
      <c r="P777" s="79">
        <v>45106.458958333336</v>
      </c>
      <c r="Q777" s="77" t="s">
        <v>1326</v>
      </c>
      <c r="R777" s="77">
        <v>0</v>
      </c>
      <c r="S777" s="77">
        <v>0</v>
      </c>
      <c r="T777" s="77">
        <v>0</v>
      </c>
      <c r="U777" s="77">
        <v>0</v>
      </c>
      <c r="V777" s="77">
        <v>16</v>
      </c>
      <c r="W777" s="82" t="s">
        <v>1960</v>
      </c>
      <c r="X777" s="77"/>
      <c r="Y777" s="77"/>
      <c r="Z777" s="77"/>
      <c r="AA777" s="77" t="s">
        <v>2576</v>
      </c>
      <c r="AB777" s="77" t="s">
        <v>2713</v>
      </c>
      <c r="AC777" s="82" t="s">
        <v>2721</v>
      </c>
      <c r="AD777" s="77" t="s">
        <v>2752</v>
      </c>
      <c r="AE777" s="80" t="str">
        <f>HYPERLINK("https://twitter.com/investimentoob1/status/1674372364644110339")</f>
        <v>https://twitter.com/investimentoob1/status/1674372364644110339</v>
      </c>
      <c r="AF777" s="79">
        <v>45106.458958333336</v>
      </c>
      <c r="AG777" s="85">
        <v>45106</v>
      </c>
      <c r="AH777" s="82" t="s">
        <v>3524</v>
      </c>
      <c r="AI777" s="77" t="b">
        <v>0</v>
      </c>
      <c r="AJ777" s="77"/>
      <c r="AK777" s="77"/>
      <c r="AL777" s="77"/>
      <c r="AM777" s="77"/>
      <c r="AN777" s="77"/>
      <c r="AO777" s="77"/>
      <c r="AP777" s="77"/>
      <c r="AQ777" s="77" t="s">
        <v>4202</v>
      </c>
      <c r="AR777" s="77">
        <v>11033</v>
      </c>
      <c r="AS777" s="77"/>
      <c r="AT777" s="77"/>
      <c r="AU777" s="77"/>
      <c r="AV777" s="80" t="str">
        <f>HYPERLINK("https://pbs.twimg.com/ext_tw_video_thumb/1674372341575438336/pu/img/9jD5u_J0lFtmC-8t.jpg")</f>
        <v>https://pbs.twimg.com/ext_tw_video_thumb/1674372341575438336/pu/img/9jD5u_J0lFtmC-8t.jpg</v>
      </c>
      <c r="AW777" s="82" t="s">
        <v>5110</v>
      </c>
      <c r="AX777" s="82" t="s">
        <v>5110</v>
      </c>
      <c r="AY777" s="77"/>
      <c r="AZ777" s="82" t="s">
        <v>5615</v>
      </c>
      <c r="BA777" s="82" t="s">
        <v>5615</v>
      </c>
      <c r="BB777" s="82" t="s">
        <v>5615</v>
      </c>
      <c r="BC777" s="82" t="s">
        <v>5110</v>
      </c>
      <c r="BD777" s="82" t="s">
        <v>6037</v>
      </c>
      <c r="BE777" s="77"/>
      <c r="BF777" s="77"/>
      <c r="BG777" s="77"/>
      <c r="BH777" s="77"/>
      <c r="BI777" s="77"/>
    </row>
    <row r="778" spans="1:61" x14ac:dyDescent="0.25">
      <c r="A778" s="62" t="s">
        <v>478</v>
      </c>
      <c r="B778" s="62" t="s">
        <v>478</v>
      </c>
      <c r="C778" s="63"/>
      <c r="D778" s="64"/>
      <c r="E778" s="65"/>
      <c r="F778" s="66"/>
      <c r="G778" s="63"/>
      <c r="H778" s="67"/>
      <c r="I778" s="68"/>
      <c r="J778" s="68"/>
      <c r="K778" s="32"/>
      <c r="L778" s="75">
        <v>778</v>
      </c>
      <c r="M778" s="75"/>
      <c r="N778" s="70"/>
      <c r="O778" s="77" t="s">
        <v>179</v>
      </c>
      <c r="P778" s="79">
        <v>45105.833912037036</v>
      </c>
      <c r="Q778" s="77" t="s">
        <v>1327</v>
      </c>
      <c r="R778" s="77">
        <v>0</v>
      </c>
      <c r="S778" s="77">
        <v>0</v>
      </c>
      <c r="T778" s="77">
        <v>0</v>
      </c>
      <c r="U778" s="77">
        <v>0</v>
      </c>
      <c r="V778" s="77">
        <v>4</v>
      </c>
      <c r="W778" s="82" t="s">
        <v>1961</v>
      </c>
      <c r="X778" s="77"/>
      <c r="Y778" s="77"/>
      <c r="Z778" s="77"/>
      <c r="AA778" s="77" t="s">
        <v>2577</v>
      </c>
      <c r="AB778" s="77" t="s">
        <v>2713</v>
      </c>
      <c r="AC778" s="82" t="s">
        <v>2721</v>
      </c>
      <c r="AD778" s="77" t="s">
        <v>2752</v>
      </c>
      <c r="AE778" s="80" t="str">
        <f>HYPERLINK("https://twitter.com/investimentoob1/status/1674145855383785473")</f>
        <v>https://twitter.com/investimentoob1/status/1674145855383785473</v>
      </c>
      <c r="AF778" s="79">
        <v>45105.833912037036</v>
      </c>
      <c r="AG778" s="85">
        <v>45105</v>
      </c>
      <c r="AH778" s="82" t="s">
        <v>3525</v>
      </c>
      <c r="AI778" s="77" t="b">
        <v>0</v>
      </c>
      <c r="AJ778" s="77"/>
      <c r="AK778" s="77"/>
      <c r="AL778" s="77"/>
      <c r="AM778" s="77"/>
      <c r="AN778" s="77"/>
      <c r="AO778" s="77"/>
      <c r="AP778" s="77"/>
      <c r="AQ778" s="77" t="s">
        <v>4203</v>
      </c>
      <c r="AR778" s="77">
        <v>11033</v>
      </c>
      <c r="AS778" s="77"/>
      <c r="AT778" s="77"/>
      <c r="AU778" s="77"/>
      <c r="AV778" s="80" t="str">
        <f>HYPERLINK("https://pbs.twimg.com/ext_tw_video_thumb/1674145832189214720/pu/img/2PyKNx7MhWUYWSpT.jpg")</f>
        <v>https://pbs.twimg.com/ext_tw_video_thumb/1674145832189214720/pu/img/2PyKNx7MhWUYWSpT.jpg</v>
      </c>
      <c r="AW778" s="82" t="s">
        <v>5111</v>
      </c>
      <c r="AX778" s="82" t="s">
        <v>5111</v>
      </c>
      <c r="AY778" s="77"/>
      <c r="AZ778" s="82" t="s">
        <v>5615</v>
      </c>
      <c r="BA778" s="82" t="s">
        <v>5615</v>
      </c>
      <c r="BB778" s="82" t="s">
        <v>5615</v>
      </c>
      <c r="BC778" s="82" t="s">
        <v>5111</v>
      </c>
      <c r="BD778" s="82" t="s">
        <v>6037</v>
      </c>
      <c r="BE778" s="77"/>
      <c r="BF778" s="77"/>
      <c r="BG778" s="77"/>
      <c r="BH778" s="77"/>
      <c r="BI778" s="77"/>
    </row>
    <row r="779" spans="1:61" x14ac:dyDescent="0.25">
      <c r="A779" s="62" t="s">
        <v>478</v>
      </c>
      <c r="B779" s="62" t="s">
        <v>478</v>
      </c>
      <c r="C779" s="63"/>
      <c r="D779" s="64"/>
      <c r="E779" s="65"/>
      <c r="F779" s="66"/>
      <c r="G779" s="63"/>
      <c r="H779" s="67"/>
      <c r="I779" s="68"/>
      <c r="J779" s="68"/>
      <c r="K779" s="32"/>
      <c r="L779" s="75">
        <v>779</v>
      </c>
      <c r="M779" s="75"/>
      <c r="N779" s="70"/>
      <c r="O779" s="77" t="s">
        <v>179</v>
      </c>
      <c r="P779" s="79">
        <v>45105.750520833331</v>
      </c>
      <c r="Q779" s="77" t="s">
        <v>1328</v>
      </c>
      <c r="R779" s="77">
        <v>0</v>
      </c>
      <c r="S779" s="77">
        <v>0</v>
      </c>
      <c r="T779" s="77">
        <v>0</v>
      </c>
      <c r="U779" s="77">
        <v>0</v>
      </c>
      <c r="V779" s="77">
        <v>16</v>
      </c>
      <c r="W779" s="82" t="s">
        <v>1959</v>
      </c>
      <c r="X779" s="77"/>
      <c r="Y779" s="77"/>
      <c r="Z779" s="77"/>
      <c r="AA779" s="77" t="s">
        <v>2578</v>
      </c>
      <c r="AB779" s="77" t="s">
        <v>2713</v>
      </c>
      <c r="AC779" s="82" t="s">
        <v>2721</v>
      </c>
      <c r="AD779" s="77" t="s">
        <v>2752</v>
      </c>
      <c r="AE779" s="80" t="str">
        <f>HYPERLINK("https://twitter.com/investimentoob1/status/1674115633972236296")</f>
        <v>https://twitter.com/investimentoob1/status/1674115633972236296</v>
      </c>
      <c r="AF779" s="79">
        <v>45105.750520833331</v>
      </c>
      <c r="AG779" s="85">
        <v>45105</v>
      </c>
      <c r="AH779" s="82" t="s">
        <v>3526</v>
      </c>
      <c r="AI779" s="77" t="b">
        <v>0</v>
      </c>
      <c r="AJ779" s="77"/>
      <c r="AK779" s="77"/>
      <c r="AL779" s="77"/>
      <c r="AM779" s="77"/>
      <c r="AN779" s="77"/>
      <c r="AO779" s="77"/>
      <c r="AP779" s="77"/>
      <c r="AQ779" s="77" t="s">
        <v>4204</v>
      </c>
      <c r="AR779" s="77">
        <v>11066</v>
      </c>
      <c r="AS779" s="77"/>
      <c r="AT779" s="77"/>
      <c r="AU779" s="77"/>
      <c r="AV779" s="80" t="str">
        <f>HYPERLINK("https://pbs.twimg.com/ext_tw_video_thumb/1674115610668683275/pu/img/MwcKutOh2w5UibPo.jpg")</f>
        <v>https://pbs.twimg.com/ext_tw_video_thumb/1674115610668683275/pu/img/MwcKutOh2w5UibPo.jpg</v>
      </c>
      <c r="AW779" s="82" t="s">
        <v>5112</v>
      </c>
      <c r="AX779" s="82" t="s">
        <v>5112</v>
      </c>
      <c r="AY779" s="77"/>
      <c r="AZ779" s="82" t="s">
        <v>5615</v>
      </c>
      <c r="BA779" s="82" t="s">
        <v>5615</v>
      </c>
      <c r="BB779" s="82" t="s">
        <v>5615</v>
      </c>
      <c r="BC779" s="82" t="s">
        <v>5112</v>
      </c>
      <c r="BD779" s="82" t="s">
        <v>6037</v>
      </c>
      <c r="BE779" s="77"/>
      <c r="BF779" s="77"/>
      <c r="BG779" s="77"/>
      <c r="BH779" s="77"/>
      <c r="BI779" s="77"/>
    </row>
    <row r="780" spans="1:61" x14ac:dyDescent="0.25">
      <c r="A780" s="62" t="s">
        <v>478</v>
      </c>
      <c r="B780" s="62" t="s">
        <v>478</v>
      </c>
      <c r="C780" s="63"/>
      <c r="D780" s="64"/>
      <c r="E780" s="65"/>
      <c r="F780" s="66"/>
      <c r="G780" s="63"/>
      <c r="H780" s="67"/>
      <c r="I780" s="68"/>
      <c r="J780" s="68"/>
      <c r="K780" s="32"/>
      <c r="L780" s="75">
        <v>780</v>
      </c>
      <c r="M780" s="75"/>
      <c r="N780" s="70"/>
      <c r="O780" s="77" t="s">
        <v>179</v>
      </c>
      <c r="P780" s="79">
        <v>44983.8752662037</v>
      </c>
      <c r="Q780" s="77" t="s">
        <v>1329</v>
      </c>
      <c r="R780" s="77">
        <v>0</v>
      </c>
      <c r="S780" s="77">
        <v>0</v>
      </c>
      <c r="T780" s="77">
        <v>0</v>
      </c>
      <c r="U780" s="77">
        <v>0</v>
      </c>
      <c r="V780" s="77">
        <v>3</v>
      </c>
      <c r="W780" s="82" t="s">
        <v>1962</v>
      </c>
      <c r="X780" s="80" t="str">
        <f>HYPERLINK("https://investimentoobjetivo.com.br/metodo-ilf/")</f>
        <v>https://investimentoobjetivo.com.br/metodo-ilf/</v>
      </c>
      <c r="Y780" s="77" t="s">
        <v>2129</v>
      </c>
      <c r="Z780" s="77"/>
      <c r="AA780" s="77" t="s">
        <v>2579</v>
      </c>
      <c r="AB780" s="77" t="s">
        <v>2714</v>
      </c>
      <c r="AC780" s="82" t="s">
        <v>2721</v>
      </c>
      <c r="AD780" s="77" t="s">
        <v>2752</v>
      </c>
      <c r="AE780" s="80" t="str">
        <f>HYPERLINK("https://twitter.com/investimentoob1/status/1629949520300605440")</f>
        <v>https://twitter.com/investimentoob1/status/1629949520300605440</v>
      </c>
      <c r="AF780" s="79">
        <v>44983.8752662037</v>
      </c>
      <c r="AG780" s="85">
        <v>44983</v>
      </c>
      <c r="AH780" s="82" t="s">
        <v>3527</v>
      </c>
      <c r="AI780" s="77" t="b">
        <v>0</v>
      </c>
      <c r="AJ780" s="77"/>
      <c r="AK780" s="77"/>
      <c r="AL780" s="77"/>
      <c r="AM780" s="77"/>
      <c r="AN780" s="77"/>
      <c r="AO780" s="77"/>
      <c r="AP780" s="77"/>
      <c r="AQ780" s="77" t="s">
        <v>4205</v>
      </c>
      <c r="AR780" s="77"/>
      <c r="AS780" s="77"/>
      <c r="AT780" s="77"/>
      <c r="AU780" s="77"/>
      <c r="AV780" s="80" t="str">
        <f>HYPERLINK("https://pbs.twimg.com/media/Fp6-c2FXwAEJaBe.jpg")</f>
        <v>https://pbs.twimg.com/media/Fp6-c2FXwAEJaBe.jpg</v>
      </c>
      <c r="AW780" s="82" t="s">
        <v>5113</v>
      </c>
      <c r="AX780" s="82" t="s">
        <v>5113</v>
      </c>
      <c r="AY780" s="77"/>
      <c r="AZ780" s="82" t="s">
        <v>5615</v>
      </c>
      <c r="BA780" s="82" t="s">
        <v>5615</v>
      </c>
      <c r="BB780" s="82" t="s">
        <v>5615</v>
      </c>
      <c r="BC780" s="82" t="s">
        <v>5113</v>
      </c>
      <c r="BD780" s="82" t="s">
        <v>6037</v>
      </c>
      <c r="BE780" s="77"/>
      <c r="BF780" s="77"/>
      <c r="BG780" s="77"/>
      <c r="BH780" s="77"/>
      <c r="BI780" s="77"/>
    </row>
    <row r="781" spans="1:61" x14ac:dyDescent="0.25">
      <c r="A781" s="62" t="s">
        <v>478</v>
      </c>
      <c r="B781" s="62" t="s">
        <v>478</v>
      </c>
      <c r="C781" s="63"/>
      <c r="D781" s="64"/>
      <c r="E781" s="65"/>
      <c r="F781" s="66"/>
      <c r="G781" s="63"/>
      <c r="H781" s="67"/>
      <c r="I781" s="68"/>
      <c r="J781" s="68"/>
      <c r="K781" s="32"/>
      <c r="L781" s="75">
        <v>781</v>
      </c>
      <c r="M781" s="75"/>
      <c r="N781" s="70"/>
      <c r="O781" s="77" t="s">
        <v>179</v>
      </c>
      <c r="P781" s="79">
        <v>45112.542141203703</v>
      </c>
      <c r="Q781" s="77" t="s">
        <v>1330</v>
      </c>
      <c r="R781" s="77">
        <v>0</v>
      </c>
      <c r="S781" s="77">
        <v>0</v>
      </c>
      <c r="T781" s="77">
        <v>0</v>
      </c>
      <c r="U781" s="77">
        <v>0</v>
      </c>
      <c r="V781" s="77">
        <v>10</v>
      </c>
      <c r="W781" s="82" t="s">
        <v>1963</v>
      </c>
      <c r="X781" s="80" t="str">
        <f>HYPERLINK("https://linktr.ee/investimentoobjetivo")</f>
        <v>https://linktr.ee/investimentoobjetivo</v>
      </c>
      <c r="Y781" s="77" t="s">
        <v>2164</v>
      </c>
      <c r="Z781" s="77"/>
      <c r="AA781" s="77"/>
      <c r="AB781" s="77"/>
      <c r="AC781" s="82" t="s">
        <v>2721</v>
      </c>
      <c r="AD781" s="77" t="s">
        <v>2752</v>
      </c>
      <c r="AE781" s="80" t="str">
        <f>HYPERLINK("https://twitter.com/investimentoob1/status/1676576834551521284")</f>
        <v>https://twitter.com/investimentoob1/status/1676576834551521284</v>
      </c>
      <c r="AF781" s="79">
        <v>45112.542141203703</v>
      </c>
      <c r="AG781" s="85">
        <v>45112</v>
      </c>
      <c r="AH781" s="82" t="s">
        <v>3528</v>
      </c>
      <c r="AI781" s="77" t="b">
        <v>0</v>
      </c>
      <c r="AJ781" s="77"/>
      <c r="AK781" s="77"/>
      <c r="AL781" s="77"/>
      <c r="AM781" s="77"/>
      <c r="AN781" s="77"/>
      <c r="AO781" s="77"/>
      <c r="AP781" s="77"/>
      <c r="AQ781" s="77"/>
      <c r="AR781" s="77"/>
      <c r="AS781" s="77"/>
      <c r="AT781" s="77"/>
      <c r="AU781" s="77"/>
      <c r="AV781" s="80" t="str">
        <f>HYPERLINK("https://pbs.twimg.com/profile_images/1308037131470811138/4qhX5Ihs_normal.png")</f>
        <v>https://pbs.twimg.com/profile_images/1308037131470811138/4qhX5Ihs_normal.png</v>
      </c>
      <c r="AW781" s="82" t="s">
        <v>5114</v>
      </c>
      <c r="AX781" s="82" t="s">
        <v>5114</v>
      </c>
      <c r="AY781" s="77"/>
      <c r="AZ781" s="82" t="s">
        <v>5615</v>
      </c>
      <c r="BA781" s="82" t="s">
        <v>5615</v>
      </c>
      <c r="BB781" s="82" t="s">
        <v>5615</v>
      </c>
      <c r="BC781" s="82" t="s">
        <v>5114</v>
      </c>
      <c r="BD781" s="82" t="s">
        <v>6037</v>
      </c>
      <c r="BE781" s="77"/>
      <c r="BF781" s="77"/>
      <c r="BG781" s="77"/>
      <c r="BH781" s="77"/>
      <c r="BI781" s="77"/>
    </row>
    <row r="782" spans="1:61" x14ac:dyDescent="0.25">
      <c r="A782" s="62" t="s">
        <v>478</v>
      </c>
      <c r="B782" s="62" t="s">
        <v>478</v>
      </c>
      <c r="C782" s="63"/>
      <c r="D782" s="64"/>
      <c r="E782" s="65"/>
      <c r="F782" s="66"/>
      <c r="G782" s="63"/>
      <c r="H782" s="67"/>
      <c r="I782" s="68"/>
      <c r="J782" s="68"/>
      <c r="K782" s="32"/>
      <c r="L782" s="75">
        <v>782</v>
      </c>
      <c r="M782" s="75"/>
      <c r="N782" s="70"/>
      <c r="O782" s="77" t="s">
        <v>179</v>
      </c>
      <c r="P782" s="79">
        <v>45110.708819444444</v>
      </c>
      <c r="Q782" s="77" t="s">
        <v>1331</v>
      </c>
      <c r="R782" s="77">
        <v>0</v>
      </c>
      <c r="S782" s="77">
        <v>0</v>
      </c>
      <c r="T782" s="77">
        <v>0</v>
      </c>
      <c r="U782" s="77">
        <v>0</v>
      </c>
      <c r="V782" s="77">
        <v>8</v>
      </c>
      <c r="W782" s="82" t="s">
        <v>1963</v>
      </c>
      <c r="X782" s="80" t="str">
        <f>HYPERLINK("https://linktr.ee/investimentoobjetivo")</f>
        <v>https://linktr.ee/investimentoobjetivo</v>
      </c>
      <c r="Y782" s="77" t="s">
        <v>2164</v>
      </c>
      <c r="Z782" s="77"/>
      <c r="AA782" s="77"/>
      <c r="AB782" s="77"/>
      <c r="AC782" s="82" t="s">
        <v>2721</v>
      </c>
      <c r="AD782" s="77" t="s">
        <v>2752</v>
      </c>
      <c r="AE782" s="80" t="str">
        <f>HYPERLINK("https://twitter.com/investimentoob1/status/1675912460199505939")</f>
        <v>https://twitter.com/investimentoob1/status/1675912460199505939</v>
      </c>
      <c r="AF782" s="79">
        <v>45110.708819444444</v>
      </c>
      <c r="AG782" s="85">
        <v>45110</v>
      </c>
      <c r="AH782" s="82" t="s">
        <v>3529</v>
      </c>
      <c r="AI782" s="77" t="b">
        <v>0</v>
      </c>
      <c r="AJ782" s="77"/>
      <c r="AK782" s="77"/>
      <c r="AL782" s="77"/>
      <c r="AM782" s="77"/>
      <c r="AN782" s="77"/>
      <c r="AO782" s="77"/>
      <c r="AP782" s="77"/>
      <c r="AQ782" s="77"/>
      <c r="AR782" s="77"/>
      <c r="AS782" s="77"/>
      <c r="AT782" s="77"/>
      <c r="AU782" s="77"/>
      <c r="AV782" s="80" t="str">
        <f>HYPERLINK("https://pbs.twimg.com/profile_images/1308037131470811138/4qhX5Ihs_normal.png")</f>
        <v>https://pbs.twimg.com/profile_images/1308037131470811138/4qhX5Ihs_normal.png</v>
      </c>
      <c r="AW782" s="82" t="s">
        <v>5115</v>
      </c>
      <c r="AX782" s="82" t="s">
        <v>5115</v>
      </c>
      <c r="AY782" s="77"/>
      <c r="AZ782" s="82" t="s">
        <v>5615</v>
      </c>
      <c r="BA782" s="82" t="s">
        <v>5615</v>
      </c>
      <c r="BB782" s="82" t="s">
        <v>5615</v>
      </c>
      <c r="BC782" s="82" t="s">
        <v>5115</v>
      </c>
      <c r="BD782" s="82" t="s">
        <v>6037</v>
      </c>
      <c r="BE782" s="77"/>
      <c r="BF782" s="77"/>
      <c r="BG782" s="77"/>
      <c r="BH782" s="77"/>
      <c r="BI782" s="77"/>
    </row>
    <row r="783" spans="1:61" x14ac:dyDescent="0.25">
      <c r="A783" s="62" t="s">
        <v>478</v>
      </c>
      <c r="B783" s="62" t="s">
        <v>478</v>
      </c>
      <c r="C783" s="63"/>
      <c r="D783" s="64"/>
      <c r="E783" s="65"/>
      <c r="F783" s="66"/>
      <c r="G783" s="63"/>
      <c r="H783" s="67"/>
      <c r="I783" s="68"/>
      <c r="J783" s="68"/>
      <c r="K783" s="32"/>
      <c r="L783" s="75">
        <v>783</v>
      </c>
      <c r="M783" s="75"/>
      <c r="N783" s="70"/>
      <c r="O783" s="77" t="s">
        <v>179</v>
      </c>
      <c r="P783" s="79">
        <v>45110.625486111108</v>
      </c>
      <c r="Q783" s="77" t="s">
        <v>1332</v>
      </c>
      <c r="R783" s="77">
        <v>0</v>
      </c>
      <c r="S783" s="77">
        <v>0</v>
      </c>
      <c r="T783" s="77">
        <v>0</v>
      </c>
      <c r="U783" s="77">
        <v>0</v>
      </c>
      <c r="V783" s="77">
        <v>5</v>
      </c>
      <c r="W783" s="82" t="s">
        <v>1963</v>
      </c>
      <c r="X783" s="80" t="str">
        <f>HYPERLINK("https://linktr.ee/investimentoobjetivo")</f>
        <v>https://linktr.ee/investimentoobjetivo</v>
      </c>
      <c r="Y783" s="77" t="s">
        <v>2164</v>
      </c>
      <c r="Z783" s="77"/>
      <c r="AA783" s="77"/>
      <c r="AB783" s="77"/>
      <c r="AC783" s="82" t="s">
        <v>2721</v>
      </c>
      <c r="AD783" s="77" t="s">
        <v>2752</v>
      </c>
      <c r="AE783" s="80" t="str">
        <f>HYPERLINK("https://twitter.com/investimentoob1/status/1675882264159199232")</f>
        <v>https://twitter.com/investimentoob1/status/1675882264159199232</v>
      </c>
      <c r="AF783" s="79">
        <v>45110.625486111108</v>
      </c>
      <c r="AG783" s="85">
        <v>45110</v>
      </c>
      <c r="AH783" s="82" t="s">
        <v>3530</v>
      </c>
      <c r="AI783" s="77" t="b">
        <v>0</v>
      </c>
      <c r="AJ783" s="77"/>
      <c r="AK783" s="77"/>
      <c r="AL783" s="77"/>
      <c r="AM783" s="77"/>
      <c r="AN783" s="77"/>
      <c r="AO783" s="77"/>
      <c r="AP783" s="77"/>
      <c r="AQ783" s="77"/>
      <c r="AR783" s="77"/>
      <c r="AS783" s="77"/>
      <c r="AT783" s="77"/>
      <c r="AU783" s="77"/>
      <c r="AV783" s="80" t="str">
        <f>HYPERLINK("https://pbs.twimg.com/profile_images/1308037131470811138/4qhX5Ihs_normal.png")</f>
        <v>https://pbs.twimg.com/profile_images/1308037131470811138/4qhX5Ihs_normal.png</v>
      </c>
      <c r="AW783" s="82" t="s">
        <v>5116</v>
      </c>
      <c r="AX783" s="82" t="s">
        <v>5116</v>
      </c>
      <c r="AY783" s="77"/>
      <c r="AZ783" s="82" t="s">
        <v>5615</v>
      </c>
      <c r="BA783" s="82" t="s">
        <v>5615</v>
      </c>
      <c r="BB783" s="82" t="s">
        <v>5615</v>
      </c>
      <c r="BC783" s="82" t="s">
        <v>5116</v>
      </c>
      <c r="BD783" s="82" t="s">
        <v>6037</v>
      </c>
      <c r="BE783" s="77"/>
      <c r="BF783" s="77"/>
      <c r="BG783" s="77"/>
      <c r="BH783" s="77"/>
      <c r="BI783" s="77"/>
    </row>
    <row r="784" spans="1:61" x14ac:dyDescent="0.25">
      <c r="A784" s="62" t="s">
        <v>478</v>
      </c>
      <c r="B784" s="62" t="s">
        <v>478</v>
      </c>
      <c r="C784" s="63"/>
      <c r="D784" s="64"/>
      <c r="E784" s="65"/>
      <c r="F784" s="66"/>
      <c r="G784" s="63"/>
      <c r="H784" s="67"/>
      <c r="I784" s="68"/>
      <c r="J784" s="68"/>
      <c r="K784" s="32"/>
      <c r="L784" s="75">
        <v>784</v>
      </c>
      <c r="M784" s="75"/>
      <c r="N784" s="70"/>
      <c r="O784" s="77" t="s">
        <v>179</v>
      </c>
      <c r="P784" s="79">
        <v>45104.625613425924</v>
      </c>
      <c r="Q784" s="77" t="s">
        <v>1333</v>
      </c>
      <c r="R784" s="77">
        <v>0</v>
      </c>
      <c r="S784" s="77">
        <v>0</v>
      </c>
      <c r="T784" s="77">
        <v>0</v>
      </c>
      <c r="U784" s="77">
        <v>0</v>
      </c>
      <c r="V784" s="77">
        <v>11</v>
      </c>
      <c r="W784" s="82" t="s">
        <v>1964</v>
      </c>
      <c r="X784" s="77"/>
      <c r="Y784" s="77"/>
      <c r="Z784" s="77"/>
      <c r="AA784" s="77" t="s">
        <v>2580</v>
      </c>
      <c r="AB784" s="77" t="s">
        <v>2713</v>
      </c>
      <c r="AC784" s="82" t="s">
        <v>2721</v>
      </c>
      <c r="AD784" s="77" t="s">
        <v>2752</v>
      </c>
      <c r="AE784" s="80" t="str">
        <f>HYPERLINK("https://twitter.com/investimentoob1/status/1673707980632539136")</f>
        <v>https://twitter.com/investimentoob1/status/1673707980632539136</v>
      </c>
      <c r="AF784" s="79">
        <v>45104.625613425924</v>
      </c>
      <c r="AG784" s="85">
        <v>45104</v>
      </c>
      <c r="AH784" s="82" t="s">
        <v>3531</v>
      </c>
      <c r="AI784" s="77" t="b">
        <v>0</v>
      </c>
      <c r="AJ784" s="77"/>
      <c r="AK784" s="77"/>
      <c r="AL784" s="77"/>
      <c r="AM784" s="77"/>
      <c r="AN784" s="77"/>
      <c r="AO784" s="77"/>
      <c r="AP784" s="77"/>
      <c r="AQ784" s="77" t="s">
        <v>4206</v>
      </c>
      <c r="AR784" s="77">
        <v>11033</v>
      </c>
      <c r="AS784" s="77"/>
      <c r="AT784" s="77"/>
      <c r="AU784" s="77"/>
      <c r="AV784" s="80" t="str">
        <f>HYPERLINK("https://pbs.twimg.com/ext_tw_video_thumb/1673707936277831682/pu/img/Yq7Z5Ft0HlKUDk4s.jpg")</f>
        <v>https://pbs.twimg.com/ext_tw_video_thumb/1673707936277831682/pu/img/Yq7Z5Ft0HlKUDk4s.jpg</v>
      </c>
      <c r="AW784" s="82" t="s">
        <v>5117</v>
      </c>
      <c r="AX784" s="82" t="s">
        <v>5117</v>
      </c>
      <c r="AY784" s="77"/>
      <c r="AZ784" s="82" t="s">
        <v>5615</v>
      </c>
      <c r="BA784" s="82" t="s">
        <v>5615</v>
      </c>
      <c r="BB784" s="82" t="s">
        <v>5615</v>
      </c>
      <c r="BC784" s="82" t="s">
        <v>5117</v>
      </c>
      <c r="BD784" s="82" t="s">
        <v>6037</v>
      </c>
      <c r="BE784" s="77"/>
      <c r="BF784" s="77"/>
      <c r="BG784" s="77"/>
      <c r="BH784" s="77"/>
      <c r="BI784" s="77"/>
    </row>
    <row r="785" spans="1:61" x14ac:dyDescent="0.25">
      <c r="A785" s="62" t="s">
        <v>478</v>
      </c>
      <c r="B785" s="62" t="s">
        <v>478</v>
      </c>
      <c r="C785" s="63"/>
      <c r="D785" s="64"/>
      <c r="E785" s="65"/>
      <c r="F785" s="66"/>
      <c r="G785" s="63"/>
      <c r="H785" s="67"/>
      <c r="I785" s="68"/>
      <c r="J785" s="68"/>
      <c r="K785" s="32"/>
      <c r="L785" s="75">
        <v>785</v>
      </c>
      <c r="M785" s="75"/>
      <c r="N785" s="70"/>
      <c r="O785" s="77" t="s">
        <v>179</v>
      </c>
      <c r="P785" s="79">
        <v>45104.542233796295</v>
      </c>
      <c r="Q785" s="77" t="s">
        <v>1334</v>
      </c>
      <c r="R785" s="77">
        <v>0</v>
      </c>
      <c r="S785" s="77">
        <v>0</v>
      </c>
      <c r="T785" s="77">
        <v>0</v>
      </c>
      <c r="U785" s="77">
        <v>0</v>
      </c>
      <c r="V785" s="77">
        <v>22</v>
      </c>
      <c r="W785" s="82" t="s">
        <v>1960</v>
      </c>
      <c r="X785" s="77"/>
      <c r="Y785" s="77"/>
      <c r="Z785" s="77"/>
      <c r="AA785" s="77" t="s">
        <v>2581</v>
      </c>
      <c r="AB785" s="77" t="s">
        <v>2713</v>
      </c>
      <c r="AC785" s="82" t="s">
        <v>2721</v>
      </c>
      <c r="AD785" s="77" t="s">
        <v>2752</v>
      </c>
      <c r="AE785" s="80" t="str">
        <f>HYPERLINK("https://twitter.com/investimentoob1/status/1673677765864837126")</f>
        <v>https://twitter.com/investimentoob1/status/1673677765864837126</v>
      </c>
      <c r="AF785" s="79">
        <v>45104.542233796295</v>
      </c>
      <c r="AG785" s="85">
        <v>45104</v>
      </c>
      <c r="AH785" s="82" t="s">
        <v>3532</v>
      </c>
      <c r="AI785" s="77" t="b">
        <v>0</v>
      </c>
      <c r="AJ785" s="77"/>
      <c r="AK785" s="77"/>
      <c r="AL785" s="77"/>
      <c r="AM785" s="77"/>
      <c r="AN785" s="77"/>
      <c r="AO785" s="77"/>
      <c r="AP785" s="77"/>
      <c r="AQ785" s="77" t="s">
        <v>4207</v>
      </c>
      <c r="AR785" s="77">
        <v>11033</v>
      </c>
      <c r="AS785" s="77"/>
      <c r="AT785" s="77"/>
      <c r="AU785" s="77"/>
      <c r="AV785" s="80" t="str">
        <f>HYPERLINK("https://pbs.twimg.com/ext_tw_video_thumb/1673677740841607172/pu/img/hJA_uWErEvAHvhKM.jpg")</f>
        <v>https://pbs.twimg.com/ext_tw_video_thumb/1673677740841607172/pu/img/hJA_uWErEvAHvhKM.jpg</v>
      </c>
      <c r="AW785" s="82" t="s">
        <v>5118</v>
      </c>
      <c r="AX785" s="82" t="s">
        <v>5118</v>
      </c>
      <c r="AY785" s="77"/>
      <c r="AZ785" s="82" t="s">
        <v>5615</v>
      </c>
      <c r="BA785" s="82" t="s">
        <v>5615</v>
      </c>
      <c r="BB785" s="82" t="s">
        <v>5615</v>
      </c>
      <c r="BC785" s="82" t="s">
        <v>5118</v>
      </c>
      <c r="BD785" s="82" t="s">
        <v>6037</v>
      </c>
      <c r="BE785" s="77"/>
      <c r="BF785" s="77"/>
      <c r="BG785" s="77"/>
      <c r="BH785" s="77"/>
      <c r="BI785" s="77"/>
    </row>
    <row r="786" spans="1:61" x14ac:dyDescent="0.25">
      <c r="A786" s="62" t="s">
        <v>478</v>
      </c>
      <c r="B786" s="62" t="s">
        <v>478</v>
      </c>
      <c r="C786" s="63"/>
      <c r="D786" s="64"/>
      <c r="E786" s="65"/>
      <c r="F786" s="66"/>
      <c r="G786" s="63"/>
      <c r="H786" s="67"/>
      <c r="I786" s="68"/>
      <c r="J786" s="68"/>
      <c r="K786" s="32"/>
      <c r="L786" s="75">
        <v>786</v>
      </c>
      <c r="M786" s="75"/>
      <c r="N786" s="70"/>
      <c r="O786" s="77" t="s">
        <v>179</v>
      </c>
      <c r="P786" s="79">
        <v>45103.917407407411</v>
      </c>
      <c r="Q786" s="77" t="s">
        <v>1335</v>
      </c>
      <c r="R786" s="77">
        <v>0</v>
      </c>
      <c r="S786" s="77">
        <v>0</v>
      </c>
      <c r="T786" s="77">
        <v>0</v>
      </c>
      <c r="U786" s="77">
        <v>0</v>
      </c>
      <c r="V786" s="77">
        <v>21</v>
      </c>
      <c r="W786" s="82" t="s">
        <v>1965</v>
      </c>
      <c r="X786" s="77"/>
      <c r="Y786" s="77"/>
      <c r="Z786" s="77"/>
      <c r="AA786" s="77" t="s">
        <v>2582</v>
      </c>
      <c r="AB786" s="77" t="s">
        <v>2713</v>
      </c>
      <c r="AC786" s="82" t="s">
        <v>2721</v>
      </c>
      <c r="AD786" s="77" t="s">
        <v>2752</v>
      </c>
      <c r="AE786" s="80" t="str">
        <f>HYPERLINK("https://twitter.com/investimentoob1/status/1673451336250146817")</f>
        <v>https://twitter.com/investimentoob1/status/1673451336250146817</v>
      </c>
      <c r="AF786" s="79">
        <v>45103.917407407411</v>
      </c>
      <c r="AG786" s="85">
        <v>45103</v>
      </c>
      <c r="AH786" s="82" t="s">
        <v>3533</v>
      </c>
      <c r="AI786" s="77" t="b">
        <v>0</v>
      </c>
      <c r="AJ786" s="77"/>
      <c r="AK786" s="77"/>
      <c r="AL786" s="77"/>
      <c r="AM786" s="77"/>
      <c r="AN786" s="77"/>
      <c r="AO786" s="77"/>
      <c r="AP786" s="77"/>
      <c r="AQ786" s="77" t="s">
        <v>4208</v>
      </c>
      <c r="AR786" s="77">
        <v>11033</v>
      </c>
      <c r="AS786" s="77"/>
      <c r="AT786" s="77"/>
      <c r="AU786" s="77"/>
      <c r="AV786" s="80" t="str">
        <f>HYPERLINK("https://pbs.twimg.com/ext_tw_video_thumb/1673451312636125185/pu/img/vX8WzZi138XAUE2M.jpg")</f>
        <v>https://pbs.twimg.com/ext_tw_video_thumb/1673451312636125185/pu/img/vX8WzZi138XAUE2M.jpg</v>
      </c>
      <c r="AW786" s="82" t="s">
        <v>5119</v>
      </c>
      <c r="AX786" s="82" t="s">
        <v>5119</v>
      </c>
      <c r="AY786" s="77"/>
      <c r="AZ786" s="82" t="s">
        <v>5615</v>
      </c>
      <c r="BA786" s="82" t="s">
        <v>5615</v>
      </c>
      <c r="BB786" s="82" t="s">
        <v>5615</v>
      </c>
      <c r="BC786" s="82" t="s">
        <v>5119</v>
      </c>
      <c r="BD786" s="82" t="s">
        <v>6037</v>
      </c>
      <c r="BE786" s="77"/>
      <c r="BF786" s="77"/>
      <c r="BG786" s="77"/>
      <c r="BH786" s="77"/>
      <c r="BI786" s="77"/>
    </row>
    <row r="787" spans="1:61" x14ac:dyDescent="0.25">
      <c r="A787" s="62" t="s">
        <v>478</v>
      </c>
      <c r="B787" s="62" t="s">
        <v>478</v>
      </c>
      <c r="C787" s="63"/>
      <c r="D787" s="64"/>
      <c r="E787" s="65"/>
      <c r="F787" s="66"/>
      <c r="G787" s="63"/>
      <c r="H787" s="67"/>
      <c r="I787" s="68"/>
      <c r="J787" s="68"/>
      <c r="K787" s="32"/>
      <c r="L787" s="75">
        <v>787</v>
      </c>
      <c r="M787" s="75"/>
      <c r="N787" s="70"/>
      <c r="O787" s="77" t="s">
        <v>179</v>
      </c>
      <c r="P787" s="79">
        <v>45103.834039351852</v>
      </c>
      <c r="Q787" s="77" t="s">
        <v>1336</v>
      </c>
      <c r="R787" s="77">
        <v>0</v>
      </c>
      <c r="S787" s="77">
        <v>0</v>
      </c>
      <c r="T787" s="77">
        <v>0</v>
      </c>
      <c r="U787" s="77">
        <v>0</v>
      </c>
      <c r="V787" s="77">
        <v>4</v>
      </c>
      <c r="W787" s="82" t="s">
        <v>1961</v>
      </c>
      <c r="X787" s="77"/>
      <c r="Y787" s="77"/>
      <c r="Z787" s="77"/>
      <c r="AA787" s="77" t="s">
        <v>2583</v>
      </c>
      <c r="AB787" s="77" t="s">
        <v>2713</v>
      </c>
      <c r="AC787" s="82" t="s">
        <v>2721</v>
      </c>
      <c r="AD787" s="77" t="s">
        <v>2752</v>
      </c>
      <c r="AE787" s="80" t="str">
        <f>HYPERLINK("https://twitter.com/investimentoob1/status/1673421125684981779")</f>
        <v>https://twitter.com/investimentoob1/status/1673421125684981779</v>
      </c>
      <c r="AF787" s="79">
        <v>45103.834039351852</v>
      </c>
      <c r="AG787" s="85">
        <v>45103</v>
      </c>
      <c r="AH787" s="82" t="s">
        <v>3534</v>
      </c>
      <c r="AI787" s="77" t="b">
        <v>0</v>
      </c>
      <c r="AJ787" s="77"/>
      <c r="AK787" s="77"/>
      <c r="AL787" s="77"/>
      <c r="AM787" s="77"/>
      <c r="AN787" s="77"/>
      <c r="AO787" s="77"/>
      <c r="AP787" s="77"/>
      <c r="AQ787" s="77" t="s">
        <v>4209</v>
      </c>
      <c r="AR787" s="77">
        <v>11033</v>
      </c>
      <c r="AS787" s="77"/>
      <c r="AT787" s="77"/>
      <c r="AU787" s="77"/>
      <c r="AV787" s="80" t="str">
        <f>HYPERLINK("https://pbs.twimg.com/ext_tw_video_thumb/1673421102184296457/pu/img/FKkO6qveh10Lg5xr.jpg")</f>
        <v>https://pbs.twimg.com/ext_tw_video_thumb/1673421102184296457/pu/img/FKkO6qveh10Lg5xr.jpg</v>
      </c>
      <c r="AW787" s="82" t="s">
        <v>5120</v>
      </c>
      <c r="AX787" s="82" t="s">
        <v>5120</v>
      </c>
      <c r="AY787" s="77"/>
      <c r="AZ787" s="82" t="s">
        <v>5615</v>
      </c>
      <c r="BA787" s="82" t="s">
        <v>5615</v>
      </c>
      <c r="BB787" s="82" t="s">
        <v>5615</v>
      </c>
      <c r="BC787" s="82" t="s">
        <v>5120</v>
      </c>
      <c r="BD787" s="82" t="s">
        <v>6037</v>
      </c>
      <c r="BE787" s="77"/>
      <c r="BF787" s="77"/>
      <c r="BG787" s="77"/>
      <c r="BH787" s="77"/>
      <c r="BI787" s="77"/>
    </row>
    <row r="788" spans="1:61" x14ac:dyDescent="0.25">
      <c r="A788" s="62" t="s">
        <v>478</v>
      </c>
      <c r="B788" s="62" t="s">
        <v>478</v>
      </c>
      <c r="C788" s="63"/>
      <c r="D788" s="64"/>
      <c r="E788" s="65"/>
      <c r="F788" s="66"/>
      <c r="G788" s="63"/>
      <c r="H788" s="67"/>
      <c r="I788" s="68"/>
      <c r="J788" s="68"/>
      <c r="K788" s="32"/>
      <c r="L788" s="75">
        <v>788</v>
      </c>
      <c r="M788" s="75"/>
      <c r="N788" s="70"/>
      <c r="O788" s="77" t="s">
        <v>179</v>
      </c>
      <c r="P788" s="79">
        <v>45103.750590277778</v>
      </c>
      <c r="Q788" s="77" t="s">
        <v>1337</v>
      </c>
      <c r="R788" s="77">
        <v>0</v>
      </c>
      <c r="S788" s="77">
        <v>0</v>
      </c>
      <c r="T788" s="77">
        <v>0</v>
      </c>
      <c r="U788" s="77">
        <v>0</v>
      </c>
      <c r="V788" s="77">
        <v>16</v>
      </c>
      <c r="W788" s="82" t="s">
        <v>1959</v>
      </c>
      <c r="X788" s="77"/>
      <c r="Y788" s="77"/>
      <c r="Z788" s="77"/>
      <c r="AA788" s="77" t="s">
        <v>2584</v>
      </c>
      <c r="AB788" s="77" t="s">
        <v>2713</v>
      </c>
      <c r="AC788" s="82" t="s">
        <v>2721</v>
      </c>
      <c r="AD788" s="77" t="s">
        <v>2752</v>
      </c>
      <c r="AE788" s="80" t="str">
        <f>HYPERLINK("https://twitter.com/investimentoob1/status/1673390883935232017")</f>
        <v>https://twitter.com/investimentoob1/status/1673390883935232017</v>
      </c>
      <c r="AF788" s="79">
        <v>45103.750590277778</v>
      </c>
      <c r="AG788" s="85">
        <v>45103</v>
      </c>
      <c r="AH788" s="82" t="s">
        <v>3535</v>
      </c>
      <c r="AI788" s="77" t="b">
        <v>0</v>
      </c>
      <c r="AJ788" s="77"/>
      <c r="AK788" s="77"/>
      <c r="AL788" s="77"/>
      <c r="AM788" s="77"/>
      <c r="AN788" s="77"/>
      <c r="AO788" s="77"/>
      <c r="AP788" s="77"/>
      <c r="AQ788" s="77" t="s">
        <v>4210</v>
      </c>
      <c r="AR788" s="77">
        <v>11066</v>
      </c>
      <c r="AS788" s="77"/>
      <c r="AT788" s="77"/>
      <c r="AU788" s="77"/>
      <c r="AV788" s="80" t="str">
        <f>HYPERLINK("https://pbs.twimg.com/ext_tw_video_thumb/1673390860904308766/pu/img/13A4JeCZzOIzCiHP.jpg")</f>
        <v>https://pbs.twimg.com/ext_tw_video_thumb/1673390860904308766/pu/img/13A4JeCZzOIzCiHP.jpg</v>
      </c>
      <c r="AW788" s="82" t="s">
        <v>5121</v>
      </c>
      <c r="AX788" s="82" t="s">
        <v>5121</v>
      </c>
      <c r="AY788" s="77"/>
      <c r="AZ788" s="82" t="s">
        <v>5615</v>
      </c>
      <c r="BA788" s="82" t="s">
        <v>5615</v>
      </c>
      <c r="BB788" s="82" t="s">
        <v>5615</v>
      </c>
      <c r="BC788" s="82" t="s">
        <v>5121</v>
      </c>
      <c r="BD788" s="82" t="s">
        <v>6037</v>
      </c>
      <c r="BE788" s="77"/>
      <c r="BF788" s="77"/>
      <c r="BG788" s="77"/>
      <c r="BH788" s="77"/>
      <c r="BI788" s="77"/>
    </row>
    <row r="789" spans="1:61" x14ac:dyDescent="0.25">
      <c r="A789" s="62" t="s">
        <v>478</v>
      </c>
      <c r="B789" s="62" t="s">
        <v>478</v>
      </c>
      <c r="C789" s="63"/>
      <c r="D789" s="64"/>
      <c r="E789" s="65"/>
      <c r="F789" s="66"/>
      <c r="G789" s="63"/>
      <c r="H789" s="67"/>
      <c r="I789" s="68"/>
      <c r="J789" s="68"/>
      <c r="K789" s="32"/>
      <c r="L789" s="75">
        <v>789</v>
      </c>
      <c r="M789" s="75"/>
      <c r="N789" s="70"/>
      <c r="O789" s="77" t="s">
        <v>179</v>
      </c>
      <c r="P789" s="79">
        <v>45103.667256944442</v>
      </c>
      <c r="Q789" s="77" t="s">
        <v>1338</v>
      </c>
      <c r="R789" s="77">
        <v>0</v>
      </c>
      <c r="S789" s="77">
        <v>0</v>
      </c>
      <c r="T789" s="77">
        <v>0</v>
      </c>
      <c r="U789" s="77">
        <v>0</v>
      </c>
      <c r="V789" s="77">
        <v>15</v>
      </c>
      <c r="W789" s="82" t="s">
        <v>1966</v>
      </c>
      <c r="X789" s="77"/>
      <c r="Y789" s="77"/>
      <c r="Z789" s="77"/>
      <c r="AA789" s="77" t="s">
        <v>2585</v>
      </c>
      <c r="AB789" s="77" t="s">
        <v>2713</v>
      </c>
      <c r="AC789" s="82" t="s">
        <v>2721</v>
      </c>
      <c r="AD789" s="77" t="s">
        <v>2752</v>
      </c>
      <c r="AE789" s="80" t="str">
        <f>HYPERLINK("https://twitter.com/investimentoob1/status/1673360683851808771")</f>
        <v>https://twitter.com/investimentoob1/status/1673360683851808771</v>
      </c>
      <c r="AF789" s="79">
        <v>45103.667256944442</v>
      </c>
      <c r="AG789" s="85">
        <v>45103</v>
      </c>
      <c r="AH789" s="82" t="s">
        <v>3536</v>
      </c>
      <c r="AI789" s="77" t="b">
        <v>0</v>
      </c>
      <c r="AJ789" s="77"/>
      <c r="AK789" s="77"/>
      <c r="AL789" s="77"/>
      <c r="AM789" s="77"/>
      <c r="AN789" s="77"/>
      <c r="AO789" s="77"/>
      <c r="AP789" s="77"/>
      <c r="AQ789" s="77" t="s">
        <v>4211</v>
      </c>
      <c r="AR789" s="77">
        <v>11066</v>
      </c>
      <c r="AS789" s="77"/>
      <c r="AT789" s="77"/>
      <c r="AU789" s="77"/>
      <c r="AV789" s="80" t="str">
        <f>HYPERLINK("https://pbs.twimg.com/ext_tw_video_thumb/1673360660183359489/pu/img/tIrMttgNbzSGlpxL.jpg")</f>
        <v>https://pbs.twimg.com/ext_tw_video_thumb/1673360660183359489/pu/img/tIrMttgNbzSGlpxL.jpg</v>
      </c>
      <c r="AW789" s="82" t="s">
        <v>5122</v>
      </c>
      <c r="AX789" s="82" t="s">
        <v>5122</v>
      </c>
      <c r="AY789" s="77"/>
      <c r="AZ789" s="82" t="s">
        <v>5615</v>
      </c>
      <c r="BA789" s="82" t="s">
        <v>5615</v>
      </c>
      <c r="BB789" s="82" t="s">
        <v>5615</v>
      </c>
      <c r="BC789" s="82" t="s">
        <v>5122</v>
      </c>
      <c r="BD789" s="82" t="s">
        <v>6037</v>
      </c>
      <c r="BE789" s="77"/>
      <c r="BF789" s="77"/>
      <c r="BG789" s="77"/>
      <c r="BH789" s="77"/>
      <c r="BI789" s="77"/>
    </row>
    <row r="790" spans="1:61" x14ac:dyDescent="0.25">
      <c r="A790" s="62" t="s">
        <v>478</v>
      </c>
      <c r="B790" s="62" t="s">
        <v>478</v>
      </c>
      <c r="C790" s="63"/>
      <c r="D790" s="64"/>
      <c r="E790" s="65"/>
      <c r="F790" s="66"/>
      <c r="G790" s="63"/>
      <c r="H790" s="67"/>
      <c r="I790" s="68"/>
      <c r="J790" s="68"/>
      <c r="K790" s="32"/>
      <c r="L790" s="75">
        <v>790</v>
      </c>
      <c r="M790" s="75"/>
      <c r="N790" s="70"/>
      <c r="O790" s="77" t="s">
        <v>179</v>
      </c>
      <c r="P790" s="79">
        <v>45103.58394675926</v>
      </c>
      <c r="Q790" s="77" t="s">
        <v>1339</v>
      </c>
      <c r="R790" s="77">
        <v>0</v>
      </c>
      <c r="S790" s="77">
        <v>0</v>
      </c>
      <c r="T790" s="77">
        <v>0</v>
      </c>
      <c r="U790" s="77">
        <v>0</v>
      </c>
      <c r="V790" s="77">
        <v>12</v>
      </c>
      <c r="W790" s="82" t="s">
        <v>1964</v>
      </c>
      <c r="X790" s="77"/>
      <c r="Y790" s="77"/>
      <c r="Z790" s="77"/>
      <c r="AA790" s="77" t="s">
        <v>2586</v>
      </c>
      <c r="AB790" s="77" t="s">
        <v>2713</v>
      </c>
      <c r="AC790" s="82" t="s">
        <v>2721</v>
      </c>
      <c r="AD790" s="77" t="s">
        <v>2752</v>
      </c>
      <c r="AE790" s="80" t="str">
        <f>HYPERLINK("https://twitter.com/investimentoob1/status/1673330495906619392")</f>
        <v>https://twitter.com/investimentoob1/status/1673330495906619392</v>
      </c>
      <c r="AF790" s="79">
        <v>45103.58394675926</v>
      </c>
      <c r="AG790" s="85">
        <v>45103</v>
      </c>
      <c r="AH790" s="82" t="s">
        <v>3353</v>
      </c>
      <c r="AI790" s="77" t="b">
        <v>0</v>
      </c>
      <c r="AJ790" s="77"/>
      <c r="AK790" s="77"/>
      <c r="AL790" s="77"/>
      <c r="AM790" s="77"/>
      <c r="AN790" s="77"/>
      <c r="AO790" s="77"/>
      <c r="AP790" s="77"/>
      <c r="AQ790" s="77" t="s">
        <v>4212</v>
      </c>
      <c r="AR790" s="77">
        <v>11033</v>
      </c>
      <c r="AS790" s="77"/>
      <c r="AT790" s="77"/>
      <c r="AU790" s="77"/>
      <c r="AV790" s="80" t="str">
        <f>HYPERLINK("https://pbs.twimg.com/ext_tw_video_thumb/1673330472179453954/pu/img/8FqKClYUFVzMr87J.jpg")</f>
        <v>https://pbs.twimg.com/ext_tw_video_thumb/1673330472179453954/pu/img/8FqKClYUFVzMr87J.jpg</v>
      </c>
      <c r="AW790" s="82" t="s">
        <v>5123</v>
      </c>
      <c r="AX790" s="82" t="s">
        <v>5123</v>
      </c>
      <c r="AY790" s="77"/>
      <c r="AZ790" s="82" t="s">
        <v>5615</v>
      </c>
      <c r="BA790" s="82" t="s">
        <v>5615</v>
      </c>
      <c r="BB790" s="82" t="s">
        <v>5615</v>
      </c>
      <c r="BC790" s="82" t="s">
        <v>5123</v>
      </c>
      <c r="BD790" s="82" t="s">
        <v>6037</v>
      </c>
      <c r="BE790" s="77"/>
      <c r="BF790" s="77"/>
      <c r="BG790" s="77"/>
      <c r="BH790" s="77"/>
      <c r="BI790" s="77"/>
    </row>
    <row r="791" spans="1:61" x14ac:dyDescent="0.25">
      <c r="A791" s="62" t="s">
        <v>478</v>
      </c>
      <c r="B791" s="62" t="s">
        <v>478</v>
      </c>
      <c r="C791" s="63"/>
      <c r="D791" s="64"/>
      <c r="E791" s="65"/>
      <c r="F791" s="66"/>
      <c r="G791" s="63"/>
      <c r="H791" s="67"/>
      <c r="I791" s="68"/>
      <c r="J791" s="68"/>
      <c r="K791" s="32"/>
      <c r="L791" s="75">
        <v>791</v>
      </c>
      <c r="M791" s="75"/>
      <c r="N791" s="70"/>
      <c r="O791" s="77" t="s">
        <v>179</v>
      </c>
      <c r="P791" s="79">
        <v>45103.500590277778</v>
      </c>
      <c r="Q791" s="77" t="s">
        <v>1340</v>
      </c>
      <c r="R791" s="77">
        <v>0</v>
      </c>
      <c r="S791" s="77">
        <v>0</v>
      </c>
      <c r="T791" s="77">
        <v>0</v>
      </c>
      <c r="U791" s="77">
        <v>0</v>
      </c>
      <c r="V791" s="77">
        <v>18</v>
      </c>
      <c r="W791" s="82" t="s">
        <v>1960</v>
      </c>
      <c r="X791" s="77"/>
      <c r="Y791" s="77"/>
      <c r="Z791" s="77"/>
      <c r="AA791" s="77" t="s">
        <v>2587</v>
      </c>
      <c r="AB791" s="77" t="s">
        <v>2713</v>
      </c>
      <c r="AC791" s="82" t="s">
        <v>2721</v>
      </c>
      <c r="AD791" s="77" t="s">
        <v>2752</v>
      </c>
      <c r="AE791" s="80" t="str">
        <f>HYPERLINK("https://twitter.com/investimentoob1/status/1673300285052141569")</f>
        <v>https://twitter.com/investimentoob1/status/1673300285052141569</v>
      </c>
      <c r="AF791" s="79">
        <v>45103.500590277778</v>
      </c>
      <c r="AG791" s="85">
        <v>45103</v>
      </c>
      <c r="AH791" s="82" t="s">
        <v>3520</v>
      </c>
      <c r="AI791" s="77" t="b">
        <v>0</v>
      </c>
      <c r="AJ791" s="77"/>
      <c r="AK791" s="77"/>
      <c r="AL791" s="77"/>
      <c r="AM791" s="77"/>
      <c r="AN791" s="77"/>
      <c r="AO791" s="77"/>
      <c r="AP791" s="77"/>
      <c r="AQ791" s="77" t="s">
        <v>4213</v>
      </c>
      <c r="AR791" s="77">
        <v>11033</v>
      </c>
      <c r="AS791" s="77"/>
      <c r="AT791" s="77"/>
      <c r="AU791" s="77"/>
      <c r="AV791" s="80" t="str">
        <f>HYPERLINK("https://pbs.twimg.com/ext_tw_video_thumb/1673300261362708482/pu/img/zWB-_moqc9WSWUoK.jpg")</f>
        <v>https://pbs.twimg.com/ext_tw_video_thumb/1673300261362708482/pu/img/zWB-_moqc9WSWUoK.jpg</v>
      </c>
      <c r="AW791" s="82" t="s">
        <v>5124</v>
      </c>
      <c r="AX791" s="82" t="s">
        <v>5124</v>
      </c>
      <c r="AY791" s="77"/>
      <c r="AZ791" s="82" t="s">
        <v>5615</v>
      </c>
      <c r="BA791" s="82" t="s">
        <v>5615</v>
      </c>
      <c r="BB791" s="82" t="s">
        <v>5615</v>
      </c>
      <c r="BC791" s="82" t="s">
        <v>5124</v>
      </c>
      <c r="BD791" s="82" t="s">
        <v>6037</v>
      </c>
      <c r="BE791" s="77"/>
      <c r="BF791" s="77"/>
      <c r="BG791" s="77"/>
      <c r="BH791" s="77"/>
      <c r="BI791" s="77"/>
    </row>
    <row r="792" spans="1:61" x14ac:dyDescent="0.25">
      <c r="A792" s="62" t="s">
        <v>478</v>
      </c>
      <c r="B792" s="62" t="s">
        <v>478</v>
      </c>
      <c r="C792" s="63"/>
      <c r="D792" s="64"/>
      <c r="E792" s="65"/>
      <c r="F792" s="66"/>
      <c r="G792" s="63"/>
      <c r="H792" s="67"/>
      <c r="I792" s="68"/>
      <c r="J792" s="68"/>
      <c r="K792" s="32"/>
      <c r="L792" s="75">
        <v>792</v>
      </c>
      <c r="M792" s="75"/>
      <c r="N792" s="70"/>
      <c r="O792" s="77" t="s">
        <v>179</v>
      </c>
      <c r="P792" s="79">
        <v>45102.875578703701</v>
      </c>
      <c r="Q792" s="77" t="s">
        <v>1341</v>
      </c>
      <c r="R792" s="77">
        <v>0</v>
      </c>
      <c r="S792" s="77">
        <v>0</v>
      </c>
      <c r="T792" s="77">
        <v>0</v>
      </c>
      <c r="U792" s="77">
        <v>0</v>
      </c>
      <c r="V792" s="77">
        <v>29</v>
      </c>
      <c r="W792" s="82" t="s">
        <v>1965</v>
      </c>
      <c r="X792" s="77"/>
      <c r="Y792" s="77"/>
      <c r="Z792" s="77"/>
      <c r="AA792" s="77" t="s">
        <v>2588</v>
      </c>
      <c r="AB792" s="77" t="s">
        <v>2713</v>
      </c>
      <c r="AC792" s="82" t="s">
        <v>2721</v>
      </c>
      <c r="AD792" s="77" t="s">
        <v>2752</v>
      </c>
      <c r="AE792" s="80" t="str">
        <f>HYPERLINK("https://twitter.com/investimentoob1/status/1673073791906226183")</f>
        <v>https://twitter.com/investimentoob1/status/1673073791906226183</v>
      </c>
      <c r="AF792" s="79">
        <v>45102.875578703701</v>
      </c>
      <c r="AG792" s="85">
        <v>45102</v>
      </c>
      <c r="AH792" s="82" t="s">
        <v>3537</v>
      </c>
      <c r="AI792" s="77" t="b">
        <v>0</v>
      </c>
      <c r="AJ792" s="77"/>
      <c r="AK792" s="77"/>
      <c r="AL792" s="77"/>
      <c r="AM792" s="77"/>
      <c r="AN792" s="77"/>
      <c r="AO792" s="77"/>
      <c r="AP792" s="77"/>
      <c r="AQ792" s="77" t="s">
        <v>4214</v>
      </c>
      <c r="AR792" s="77">
        <v>11033</v>
      </c>
      <c r="AS792" s="77"/>
      <c r="AT792" s="77"/>
      <c r="AU792" s="77"/>
      <c r="AV792" s="80" t="str">
        <f>HYPERLINK("https://pbs.twimg.com/ext_tw_video_thumb/1673073768242053124/pu/img/Yh8SyPYEeyfmYZBw.jpg")</f>
        <v>https://pbs.twimg.com/ext_tw_video_thumb/1673073768242053124/pu/img/Yh8SyPYEeyfmYZBw.jpg</v>
      </c>
      <c r="AW792" s="82" t="s">
        <v>5125</v>
      </c>
      <c r="AX792" s="82" t="s">
        <v>5125</v>
      </c>
      <c r="AY792" s="77"/>
      <c r="AZ792" s="82" t="s">
        <v>5615</v>
      </c>
      <c r="BA792" s="82" t="s">
        <v>5615</v>
      </c>
      <c r="BB792" s="82" t="s">
        <v>5615</v>
      </c>
      <c r="BC792" s="82" t="s">
        <v>5125</v>
      </c>
      <c r="BD792" s="82" t="s">
        <v>6037</v>
      </c>
      <c r="BE792" s="77"/>
      <c r="BF792" s="77"/>
      <c r="BG792" s="77"/>
      <c r="BH792" s="77"/>
      <c r="BI792" s="77"/>
    </row>
    <row r="793" spans="1:61" x14ac:dyDescent="0.25">
      <c r="A793" s="62" t="s">
        <v>478</v>
      </c>
      <c r="B793" s="62" t="s">
        <v>478</v>
      </c>
      <c r="C793" s="63"/>
      <c r="D793" s="64"/>
      <c r="E793" s="65"/>
      <c r="F793" s="66"/>
      <c r="G793" s="63"/>
      <c r="H793" s="67"/>
      <c r="I793" s="68"/>
      <c r="J793" s="68"/>
      <c r="K793" s="32"/>
      <c r="L793" s="75">
        <v>793</v>
      </c>
      <c r="M793" s="75"/>
      <c r="N793" s="70"/>
      <c r="O793" s="77" t="s">
        <v>179</v>
      </c>
      <c r="P793" s="79">
        <v>45102.79215277778</v>
      </c>
      <c r="Q793" s="77" t="s">
        <v>1342</v>
      </c>
      <c r="R793" s="77">
        <v>0</v>
      </c>
      <c r="S793" s="77">
        <v>0</v>
      </c>
      <c r="T793" s="77">
        <v>0</v>
      </c>
      <c r="U793" s="77">
        <v>0</v>
      </c>
      <c r="V793" s="77">
        <v>4</v>
      </c>
      <c r="W793" s="82" t="s">
        <v>1961</v>
      </c>
      <c r="X793" s="77"/>
      <c r="Y793" s="77"/>
      <c r="Z793" s="77"/>
      <c r="AA793" s="77" t="s">
        <v>2589</v>
      </c>
      <c r="AB793" s="77" t="s">
        <v>2713</v>
      </c>
      <c r="AC793" s="82" t="s">
        <v>2721</v>
      </c>
      <c r="AD793" s="77" t="s">
        <v>2752</v>
      </c>
      <c r="AE793" s="80" t="str">
        <f>HYPERLINK("https://twitter.com/investimentoob1/status/1673043557840560128")</f>
        <v>https://twitter.com/investimentoob1/status/1673043557840560128</v>
      </c>
      <c r="AF793" s="79">
        <v>45102.79215277778</v>
      </c>
      <c r="AG793" s="85">
        <v>45102</v>
      </c>
      <c r="AH793" s="82" t="s">
        <v>3538</v>
      </c>
      <c r="AI793" s="77" t="b">
        <v>0</v>
      </c>
      <c r="AJ793" s="77"/>
      <c r="AK793" s="77"/>
      <c r="AL793" s="77"/>
      <c r="AM793" s="77"/>
      <c r="AN793" s="77"/>
      <c r="AO793" s="77"/>
      <c r="AP793" s="77"/>
      <c r="AQ793" s="77" t="s">
        <v>4215</v>
      </c>
      <c r="AR793" s="77">
        <v>11033</v>
      </c>
      <c r="AS793" s="77"/>
      <c r="AT793" s="77"/>
      <c r="AU793" s="77"/>
      <c r="AV793" s="80" t="str">
        <f>HYPERLINK("https://pbs.twimg.com/ext_tw_video_thumb/1673043534721474560/pu/img/4ff8b7cl65Mp7kf2.jpg")</f>
        <v>https://pbs.twimg.com/ext_tw_video_thumb/1673043534721474560/pu/img/4ff8b7cl65Mp7kf2.jpg</v>
      </c>
      <c r="AW793" s="82" t="s">
        <v>5126</v>
      </c>
      <c r="AX793" s="82" t="s">
        <v>5126</v>
      </c>
      <c r="AY793" s="77"/>
      <c r="AZ793" s="82" t="s">
        <v>5615</v>
      </c>
      <c r="BA793" s="82" t="s">
        <v>5615</v>
      </c>
      <c r="BB793" s="82" t="s">
        <v>5615</v>
      </c>
      <c r="BC793" s="82" t="s">
        <v>5126</v>
      </c>
      <c r="BD793" s="82" t="s">
        <v>6037</v>
      </c>
      <c r="BE793" s="77"/>
      <c r="BF793" s="77"/>
      <c r="BG793" s="77"/>
      <c r="BH793" s="77"/>
      <c r="BI793" s="77"/>
    </row>
    <row r="794" spans="1:61" x14ac:dyDescent="0.25">
      <c r="A794" s="62" t="s">
        <v>478</v>
      </c>
      <c r="B794" s="62" t="s">
        <v>478</v>
      </c>
      <c r="C794" s="63"/>
      <c r="D794" s="64"/>
      <c r="E794" s="65"/>
      <c r="F794" s="66"/>
      <c r="G794" s="63"/>
      <c r="H794" s="67"/>
      <c r="I794" s="68"/>
      <c r="J794" s="68"/>
      <c r="K794" s="32"/>
      <c r="L794" s="75">
        <v>794</v>
      </c>
      <c r="M794" s="75"/>
      <c r="N794" s="70"/>
      <c r="O794" s="77" t="s">
        <v>179</v>
      </c>
      <c r="P794" s="79">
        <v>45102.708680555559</v>
      </c>
      <c r="Q794" s="77" t="s">
        <v>1343</v>
      </c>
      <c r="R794" s="77">
        <v>0</v>
      </c>
      <c r="S794" s="77">
        <v>0</v>
      </c>
      <c r="T794" s="77">
        <v>0</v>
      </c>
      <c r="U794" s="77">
        <v>0</v>
      </c>
      <c r="V794" s="77">
        <v>19</v>
      </c>
      <c r="W794" s="82" t="s">
        <v>1959</v>
      </c>
      <c r="X794" s="77"/>
      <c r="Y794" s="77"/>
      <c r="Z794" s="77"/>
      <c r="AA794" s="77" t="s">
        <v>2590</v>
      </c>
      <c r="AB794" s="77" t="s">
        <v>2713</v>
      </c>
      <c r="AC794" s="82" t="s">
        <v>2721</v>
      </c>
      <c r="AD794" s="77" t="s">
        <v>2752</v>
      </c>
      <c r="AE794" s="80" t="str">
        <f>HYPERLINK("https://twitter.com/investimentoob1/status/1673013309753180161")</f>
        <v>https://twitter.com/investimentoob1/status/1673013309753180161</v>
      </c>
      <c r="AF794" s="79">
        <v>45102.708680555559</v>
      </c>
      <c r="AG794" s="85">
        <v>45102</v>
      </c>
      <c r="AH794" s="82" t="s">
        <v>3539</v>
      </c>
      <c r="AI794" s="77" t="b">
        <v>0</v>
      </c>
      <c r="AJ794" s="77"/>
      <c r="AK794" s="77"/>
      <c r="AL794" s="77"/>
      <c r="AM794" s="77"/>
      <c r="AN794" s="77"/>
      <c r="AO794" s="77"/>
      <c r="AP794" s="77"/>
      <c r="AQ794" s="77" t="s">
        <v>4216</v>
      </c>
      <c r="AR794" s="77">
        <v>11066</v>
      </c>
      <c r="AS794" s="77"/>
      <c r="AT794" s="77"/>
      <c r="AU794" s="77"/>
      <c r="AV794" s="80" t="str">
        <f>HYPERLINK("https://pbs.twimg.com/ext_tw_video_thumb/1673013286680363013/pu/img/ScKjqcvIgQkH9e8r.jpg")</f>
        <v>https://pbs.twimg.com/ext_tw_video_thumb/1673013286680363013/pu/img/ScKjqcvIgQkH9e8r.jpg</v>
      </c>
      <c r="AW794" s="82" t="s">
        <v>5127</v>
      </c>
      <c r="AX794" s="82" t="s">
        <v>5127</v>
      </c>
      <c r="AY794" s="77"/>
      <c r="AZ794" s="82" t="s">
        <v>5615</v>
      </c>
      <c r="BA794" s="82" t="s">
        <v>5615</v>
      </c>
      <c r="BB794" s="82" t="s">
        <v>5615</v>
      </c>
      <c r="BC794" s="82" t="s">
        <v>5127</v>
      </c>
      <c r="BD794" s="82" t="s">
        <v>6037</v>
      </c>
      <c r="BE794" s="77"/>
      <c r="BF794" s="77"/>
      <c r="BG794" s="77"/>
      <c r="BH794" s="77"/>
      <c r="BI794" s="77"/>
    </row>
    <row r="795" spans="1:61" x14ac:dyDescent="0.25">
      <c r="A795" s="62" t="s">
        <v>478</v>
      </c>
      <c r="B795" s="62" t="s">
        <v>478</v>
      </c>
      <c r="C795" s="63"/>
      <c r="D795" s="64"/>
      <c r="E795" s="65"/>
      <c r="F795" s="66"/>
      <c r="G795" s="63"/>
      <c r="H795" s="67"/>
      <c r="I795" s="68"/>
      <c r="J795" s="68"/>
      <c r="K795" s="32"/>
      <c r="L795" s="75">
        <v>795</v>
      </c>
      <c r="M795" s="75"/>
      <c r="N795" s="70"/>
      <c r="O795" s="77" t="s">
        <v>179</v>
      </c>
      <c r="P795" s="79">
        <v>45102.625590277778</v>
      </c>
      <c r="Q795" s="77" t="s">
        <v>1344</v>
      </c>
      <c r="R795" s="77">
        <v>0</v>
      </c>
      <c r="S795" s="77">
        <v>0</v>
      </c>
      <c r="T795" s="77">
        <v>0</v>
      </c>
      <c r="U795" s="77">
        <v>0</v>
      </c>
      <c r="V795" s="77">
        <v>7</v>
      </c>
      <c r="W795" s="82" t="s">
        <v>1966</v>
      </c>
      <c r="X795" s="77"/>
      <c r="Y795" s="77"/>
      <c r="Z795" s="77"/>
      <c r="AA795" s="77" t="s">
        <v>2591</v>
      </c>
      <c r="AB795" s="77" t="s">
        <v>2713</v>
      </c>
      <c r="AC795" s="82" t="s">
        <v>2721</v>
      </c>
      <c r="AD795" s="77" t="s">
        <v>2752</v>
      </c>
      <c r="AE795" s="80" t="str">
        <f>HYPERLINK("https://twitter.com/investimentoob1/status/1672983199318781952")</f>
        <v>https://twitter.com/investimentoob1/status/1672983199318781952</v>
      </c>
      <c r="AF795" s="79">
        <v>45102.625590277778</v>
      </c>
      <c r="AG795" s="85">
        <v>45102</v>
      </c>
      <c r="AH795" s="82" t="s">
        <v>3540</v>
      </c>
      <c r="AI795" s="77" t="b">
        <v>0</v>
      </c>
      <c r="AJ795" s="77"/>
      <c r="AK795" s="77"/>
      <c r="AL795" s="77"/>
      <c r="AM795" s="77"/>
      <c r="AN795" s="77"/>
      <c r="AO795" s="77"/>
      <c r="AP795" s="77"/>
      <c r="AQ795" s="77" t="s">
        <v>4217</v>
      </c>
      <c r="AR795" s="77">
        <v>11066</v>
      </c>
      <c r="AS795" s="77"/>
      <c r="AT795" s="77"/>
      <c r="AU795" s="77"/>
      <c r="AV795" s="80" t="str">
        <f>HYPERLINK("https://pbs.twimg.com/ext_tw_video_thumb/1672983176216551425/pu/img/TuxdPFairf6CQDVd.jpg")</f>
        <v>https://pbs.twimg.com/ext_tw_video_thumb/1672983176216551425/pu/img/TuxdPFairf6CQDVd.jpg</v>
      </c>
      <c r="AW795" s="82" t="s">
        <v>5128</v>
      </c>
      <c r="AX795" s="82" t="s">
        <v>5128</v>
      </c>
      <c r="AY795" s="77"/>
      <c r="AZ795" s="82" t="s">
        <v>5615</v>
      </c>
      <c r="BA795" s="82" t="s">
        <v>5615</v>
      </c>
      <c r="BB795" s="82" t="s">
        <v>5615</v>
      </c>
      <c r="BC795" s="82" t="s">
        <v>5128</v>
      </c>
      <c r="BD795" s="82" t="s">
        <v>6037</v>
      </c>
      <c r="BE795" s="77"/>
      <c r="BF795" s="77"/>
      <c r="BG795" s="77"/>
      <c r="BH795" s="77"/>
      <c r="BI795" s="77"/>
    </row>
    <row r="796" spans="1:61" x14ac:dyDescent="0.25">
      <c r="A796" s="62" t="s">
        <v>478</v>
      </c>
      <c r="B796" s="62" t="s">
        <v>478</v>
      </c>
      <c r="C796" s="63"/>
      <c r="D796" s="64"/>
      <c r="E796" s="65"/>
      <c r="F796" s="66"/>
      <c r="G796" s="63"/>
      <c r="H796" s="67"/>
      <c r="I796" s="68"/>
      <c r="J796" s="68"/>
      <c r="K796" s="32"/>
      <c r="L796" s="75">
        <v>796</v>
      </c>
      <c r="M796" s="75"/>
      <c r="N796" s="70"/>
      <c r="O796" s="77" t="s">
        <v>179</v>
      </c>
      <c r="P796" s="79">
        <v>45102.542291666665</v>
      </c>
      <c r="Q796" s="77" t="s">
        <v>1345</v>
      </c>
      <c r="R796" s="77">
        <v>0</v>
      </c>
      <c r="S796" s="77">
        <v>0</v>
      </c>
      <c r="T796" s="77">
        <v>0</v>
      </c>
      <c r="U796" s="77">
        <v>0</v>
      </c>
      <c r="V796" s="77">
        <v>12</v>
      </c>
      <c r="W796" s="82" t="s">
        <v>1964</v>
      </c>
      <c r="X796" s="77"/>
      <c r="Y796" s="77"/>
      <c r="Z796" s="77"/>
      <c r="AA796" s="77" t="s">
        <v>2592</v>
      </c>
      <c r="AB796" s="77" t="s">
        <v>2713</v>
      </c>
      <c r="AC796" s="82" t="s">
        <v>2721</v>
      </c>
      <c r="AD796" s="77" t="s">
        <v>2752</v>
      </c>
      <c r="AE796" s="80" t="str">
        <f>HYPERLINK("https://twitter.com/investimentoob1/status/1672953012728262657")</f>
        <v>https://twitter.com/investimentoob1/status/1672953012728262657</v>
      </c>
      <c r="AF796" s="79">
        <v>45102.542291666665</v>
      </c>
      <c r="AG796" s="85">
        <v>45102</v>
      </c>
      <c r="AH796" s="82" t="s">
        <v>3541</v>
      </c>
      <c r="AI796" s="77" t="b">
        <v>0</v>
      </c>
      <c r="AJ796" s="77"/>
      <c r="AK796" s="77"/>
      <c r="AL796" s="77"/>
      <c r="AM796" s="77"/>
      <c r="AN796" s="77"/>
      <c r="AO796" s="77"/>
      <c r="AP796" s="77"/>
      <c r="AQ796" s="77" t="s">
        <v>4218</v>
      </c>
      <c r="AR796" s="77">
        <v>11033</v>
      </c>
      <c r="AS796" s="77"/>
      <c r="AT796" s="77"/>
      <c r="AU796" s="77"/>
      <c r="AV796" s="80" t="str">
        <f>HYPERLINK("https://pbs.twimg.com/ext_tw_video_thumb/1672952989605142539/pu/img/wepS9MmnSFTYw3og.jpg")</f>
        <v>https://pbs.twimg.com/ext_tw_video_thumb/1672952989605142539/pu/img/wepS9MmnSFTYw3og.jpg</v>
      </c>
      <c r="AW796" s="82" t="s">
        <v>5129</v>
      </c>
      <c r="AX796" s="82" t="s">
        <v>5129</v>
      </c>
      <c r="AY796" s="77"/>
      <c r="AZ796" s="82" t="s">
        <v>5615</v>
      </c>
      <c r="BA796" s="82" t="s">
        <v>5615</v>
      </c>
      <c r="BB796" s="82" t="s">
        <v>5615</v>
      </c>
      <c r="BC796" s="82" t="s">
        <v>5129</v>
      </c>
      <c r="BD796" s="82" t="s">
        <v>6037</v>
      </c>
      <c r="BE796" s="77"/>
      <c r="BF796" s="77"/>
      <c r="BG796" s="77"/>
      <c r="BH796" s="77"/>
      <c r="BI796" s="77"/>
    </row>
    <row r="797" spans="1:61" x14ac:dyDescent="0.25">
      <c r="A797" s="62" t="s">
        <v>478</v>
      </c>
      <c r="B797" s="62" t="s">
        <v>478</v>
      </c>
      <c r="C797" s="63"/>
      <c r="D797" s="64"/>
      <c r="E797" s="65"/>
      <c r="F797" s="66"/>
      <c r="G797" s="63"/>
      <c r="H797" s="67"/>
      <c r="I797" s="68"/>
      <c r="J797" s="68"/>
      <c r="K797" s="32"/>
      <c r="L797" s="75">
        <v>797</v>
      </c>
      <c r="M797" s="75"/>
      <c r="N797" s="70"/>
      <c r="O797" s="77" t="s">
        <v>179</v>
      </c>
      <c r="P797" s="79">
        <v>45102.458935185183</v>
      </c>
      <c r="Q797" s="77" t="s">
        <v>1346</v>
      </c>
      <c r="R797" s="77">
        <v>0</v>
      </c>
      <c r="S797" s="77">
        <v>0</v>
      </c>
      <c r="T797" s="77">
        <v>0</v>
      </c>
      <c r="U797" s="77">
        <v>0</v>
      </c>
      <c r="V797" s="77">
        <v>19</v>
      </c>
      <c r="W797" s="82" t="s">
        <v>1960</v>
      </c>
      <c r="X797" s="77"/>
      <c r="Y797" s="77"/>
      <c r="Z797" s="77"/>
      <c r="AA797" s="77" t="s">
        <v>2593</v>
      </c>
      <c r="AB797" s="77" t="s">
        <v>2713</v>
      </c>
      <c r="AC797" s="82" t="s">
        <v>2721</v>
      </c>
      <c r="AD797" s="77" t="s">
        <v>2752</v>
      </c>
      <c r="AE797" s="80" t="str">
        <f>HYPERLINK("https://twitter.com/investimentoob1/status/1672922805137022978")</f>
        <v>https://twitter.com/investimentoob1/status/1672922805137022978</v>
      </c>
      <c r="AF797" s="79">
        <v>45102.458935185183</v>
      </c>
      <c r="AG797" s="85">
        <v>45102</v>
      </c>
      <c r="AH797" s="82" t="s">
        <v>3542</v>
      </c>
      <c r="AI797" s="77" t="b">
        <v>0</v>
      </c>
      <c r="AJ797" s="77"/>
      <c r="AK797" s="77"/>
      <c r="AL797" s="77"/>
      <c r="AM797" s="77"/>
      <c r="AN797" s="77"/>
      <c r="AO797" s="77"/>
      <c r="AP797" s="77"/>
      <c r="AQ797" s="77" t="s">
        <v>4219</v>
      </c>
      <c r="AR797" s="77">
        <v>11033</v>
      </c>
      <c r="AS797" s="77"/>
      <c r="AT797" s="77"/>
      <c r="AU797" s="77"/>
      <c r="AV797" s="80" t="str">
        <f>HYPERLINK("https://pbs.twimg.com/ext_tw_video_thumb/1672922781669810178/pu/img/rV1uK8iVRzKh-TbB.jpg")</f>
        <v>https://pbs.twimg.com/ext_tw_video_thumb/1672922781669810178/pu/img/rV1uK8iVRzKh-TbB.jpg</v>
      </c>
      <c r="AW797" s="82" t="s">
        <v>5130</v>
      </c>
      <c r="AX797" s="82" t="s">
        <v>5130</v>
      </c>
      <c r="AY797" s="77"/>
      <c r="AZ797" s="82" t="s">
        <v>5615</v>
      </c>
      <c r="BA797" s="82" t="s">
        <v>5615</v>
      </c>
      <c r="BB797" s="82" t="s">
        <v>5615</v>
      </c>
      <c r="BC797" s="82" t="s">
        <v>5130</v>
      </c>
      <c r="BD797" s="82" t="s">
        <v>6037</v>
      </c>
      <c r="BE797" s="77"/>
      <c r="BF797" s="77"/>
      <c r="BG797" s="77"/>
      <c r="BH797" s="77"/>
      <c r="BI797" s="77"/>
    </row>
    <row r="798" spans="1:61" x14ac:dyDescent="0.25">
      <c r="A798" s="62" t="s">
        <v>478</v>
      </c>
      <c r="B798" s="62" t="s">
        <v>478</v>
      </c>
      <c r="C798" s="63"/>
      <c r="D798" s="64"/>
      <c r="E798" s="65"/>
      <c r="F798" s="66"/>
      <c r="G798" s="63"/>
      <c r="H798" s="67"/>
      <c r="I798" s="68"/>
      <c r="J798" s="68"/>
      <c r="K798" s="32"/>
      <c r="L798" s="75">
        <v>798</v>
      </c>
      <c r="M798" s="75"/>
      <c r="N798" s="70"/>
      <c r="O798" s="77" t="s">
        <v>179</v>
      </c>
      <c r="P798" s="79">
        <v>45101.500497685185</v>
      </c>
      <c r="Q798" s="77" t="s">
        <v>1347</v>
      </c>
      <c r="R798" s="77">
        <v>0</v>
      </c>
      <c r="S798" s="77">
        <v>0</v>
      </c>
      <c r="T798" s="77">
        <v>0</v>
      </c>
      <c r="U798" s="77">
        <v>0</v>
      </c>
      <c r="V798" s="77">
        <v>23</v>
      </c>
      <c r="W798" s="82" t="s">
        <v>1960</v>
      </c>
      <c r="X798" s="77"/>
      <c r="Y798" s="77"/>
      <c r="Z798" s="77"/>
      <c r="AA798" s="77" t="s">
        <v>2594</v>
      </c>
      <c r="AB798" s="77" t="s">
        <v>2713</v>
      </c>
      <c r="AC798" s="82" t="s">
        <v>2721</v>
      </c>
      <c r="AD798" s="77" t="s">
        <v>2752</v>
      </c>
      <c r="AE798" s="80" t="str">
        <f>HYPERLINK("https://twitter.com/investimentoob1/status/1672575479281229826")</f>
        <v>https://twitter.com/investimentoob1/status/1672575479281229826</v>
      </c>
      <c r="AF798" s="79">
        <v>45101.500497685185</v>
      </c>
      <c r="AG798" s="85">
        <v>45101</v>
      </c>
      <c r="AH798" s="82" t="s">
        <v>3543</v>
      </c>
      <c r="AI798" s="77" t="b">
        <v>0</v>
      </c>
      <c r="AJ798" s="77"/>
      <c r="AK798" s="77"/>
      <c r="AL798" s="77"/>
      <c r="AM798" s="77"/>
      <c r="AN798" s="77"/>
      <c r="AO798" s="77"/>
      <c r="AP798" s="77"/>
      <c r="AQ798" s="77" t="s">
        <v>4220</v>
      </c>
      <c r="AR798" s="77">
        <v>11033</v>
      </c>
      <c r="AS798" s="77"/>
      <c r="AT798" s="77"/>
      <c r="AU798" s="77"/>
      <c r="AV798" s="80" t="str">
        <f>HYPERLINK("https://pbs.twimg.com/ext_tw_video_thumb/1672575456413974528/pu/img/C12kv4FudRHMF_tn.jpg")</f>
        <v>https://pbs.twimg.com/ext_tw_video_thumb/1672575456413974528/pu/img/C12kv4FudRHMF_tn.jpg</v>
      </c>
      <c r="AW798" s="82" t="s">
        <v>5131</v>
      </c>
      <c r="AX798" s="82" t="s">
        <v>5131</v>
      </c>
      <c r="AY798" s="77"/>
      <c r="AZ798" s="82" t="s">
        <v>5615</v>
      </c>
      <c r="BA798" s="82" t="s">
        <v>5615</v>
      </c>
      <c r="BB798" s="82" t="s">
        <v>5615</v>
      </c>
      <c r="BC798" s="82" t="s">
        <v>5131</v>
      </c>
      <c r="BD798" s="82" t="s">
        <v>6037</v>
      </c>
      <c r="BE798" s="77"/>
      <c r="BF798" s="77"/>
      <c r="BG798" s="77"/>
      <c r="BH798" s="77"/>
      <c r="BI798" s="77"/>
    </row>
    <row r="799" spans="1:61" x14ac:dyDescent="0.25">
      <c r="A799" s="62" t="s">
        <v>478</v>
      </c>
      <c r="B799" s="62" t="s">
        <v>478</v>
      </c>
      <c r="C799" s="63"/>
      <c r="D799" s="64"/>
      <c r="E799" s="65"/>
      <c r="F799" s="66"/>
      <c r="G799" s="63"/>
      <c r="H799" s="67"/>
      <c r="I799" s="68"/>
      <c r="J799" s="68"/>
      <c r="K799" s="32"/>
      <c r="L799" s="75">
        <v>799</v>
      </c>
      <c r="M799" s="75"/>
      <c r="N799" s="70"/>
      <c r="O799" s="77" t="s">
        <v>179</v>
      </c>
      <c r="P799" s="79">
        <v>45046.750717592593</v>
      </c>
      <c r="Q799" s="77" t="s">
        <v>1348</v>
      </c>
      <c r="R799" s="77">
        <v>0</v>
      </c>
      <c r="S799" s="77">
        <v>0</v>
      </c>
      <c r="T799" s="77">
        <v>0</v>
      </c>
      <c r="U799" s="77">
        <v>0</v>
      </c>
      <c r="V799" s="77">
        <v>30</v>
      </c>
      <c r="W799" s="82" t="s">
        <v>1967</v>
      </c>
      <c r="X799" s="77"/>
      <c r="Y799" s="77"/>
      <c r="Z799" s="77"/>
      <c r="AA799" s="77" t="s">
        <v>2595</v>
      </c>
      <c r="AB799" s="77" t="s">
        <v>2713</v>
      </c>
      <c r="AC799" s="82" t="s">
        <v>2721</v>
      </c>
      <c r="AD799" s="77" t="s">
        <v>2752</v>
      </c>
      <c r="AE799" s="80" t="str">
        <f>HYPERLINK("https://twitter.com/investimentoob1/status/1652734819791433741")</f>
        <v>https://twitter.com/investimentoob1/status/1652734819791433741</v>
      </c>
      <c r="AF799" s="79">
        <v>45046.750717592593</v>
      </c>
      <c r="AG799" s="85">
        <v>45046</v>
      </c>
      <c r="AH799" s="82" t="s">
        <v>3544</v>
      </c>
      <c r="AI799" s="77" t="b">
        <v>0</v>
      </c>
      <c r="AJ799" s="77"/>
      <c r="AK799" s="77"/>
      <c r="AL799" s="77"/>
      <c r="AM799" s="77"/>
      <c r="AN799" s="77"/>
      <c r="AO799" s="77"/>
      <c r="AP799" s="77"/>
      <c r="AQ799" s="77" t="s">
        <v>4221</v>
      </c>
      <c r="AR799" s="77">
        <v>26416</v>
      </c>
      <c r="AS799" s="77"/>
      <c r="AT799" s="77"/>
      <c r="AU799" s="77"/>
      <c r="AV799" s="80" t="str">
        <f>HYPERLINK("https://pbs.twimg.com/ext_tw_video_thumb/1652734773092032513/pu/img/eeuC-_nOjyGoR4dC.jpg")</f>
        <v>https://pbs.twimg.com/ext_tw_video_thumb/1652734773092032513/pu/img/eeuC-_nOjyGoR4dC.jpg</v>
      </c>
      <c r="AW799" s="82" t="s">
        <v>5132</v>
      </c>
      <c r="AX799" s="82" t="s">
        <v>5132</v>
      </c>
      <c r="AY799" s="77"/>
      <c r="AZ799" s="82" t="s">
        <v>5615</v>
      </c>
      <c r="BA799" s="82" t="s">
        <v>5615</v>
      </c>
      <c r="BB799" s="82" t="s">
        <v>5615</v>
      </c>
      <c r="BC799" s="82" t="s">
        <v>5132</v>
      </c>
      <c r="BD799" s="82" t="s">
        <v>6037</v>
      </c>
      <c r="BE799" s="77"/>
      <c r="BF799" s="77"/>
      <c r="BG799" s="77"/>
      <c r="BH799" s="77"/>
      <c r="BI799" s="77"/>
    </row>
    <row r="800" spans="1:61" x14ac:dyDescent="0.25">
      <c r="A800" s="62" t="s">
        <v>478</v>
      </c>
      <c r="B800" s="62" t="s">
        <v>478</v>
      </c>
      <c r="C800" s="63"/>
      <c r="D800" s="64"/>
      <c r="E800" s="65"/>
      <c r="F800" s="66"/>
      <c r="G800" s="63"/>
      <c r="H800" s="67"/>
      <c r="I800" s="68"/>
      <c r="J800" s="68"/>
      <c r="K800" s="32"/>
      <c r="L800" s="75">
        <v>800</v>
      </c>
      <c r="M800" s="75"/>
      <c r="N800" s="70"/>
      <c r="O800" s="77" t="s">
        <v>179</v>
      </c>
      <c r="P800" s="79">
        <v>45044.750659722224</v>
      </c>
      <c r="Q800" s="77" t="s">
        <v>1349</v>
      </c>
      <c r="R800" s="77">
        <v>0</v>
      </c>
      <c r="S800" s="77">
        <v>0</v>
      </c>
      <c r="T800" s="77">
        <v>0</v>
      </c>
      <c r="U800" s="77">
        <v>0</v>
      </c>
      <c r="V800" s="77">
        <v>22</v>
      </c>
      <c r="W800" s="82" t="s">
        <v>1968</v>
      </c>
      <c r="X800" s="77"/>
      <c r="Y800" s="77"/>
      <c r="Z800" s="77"/>
      <c r="AA800" s="77" t="s">
        <v>2596</v>
      </c>
      <c r="AB800" s="77" t="s">
        <v>2713</v>
      </c>
      <c r="AC800" s="82" t="s">
        <v>2721</v>
      </c>
      <c r="AD800" s="77" t="s">
        <v>2752</v>
      </c>
      <c r="AE800" s="80" t="str">
        <f>HYPERLINK("https://twitter.com/investimentoob1/status/1652010026985218048")</f>
        <v>https://twitter.com/investimentoob1/status/1652010026985218048</v>
      </c>
      <c r="AF800" s="79">
        <v>45044.750659722224</v>
      </c>
      <c r="AG800" s="85">
        <v>45044</v>
      </c>
      <c r="AH800" s="82" t="s">
        <v>3545</v>
      </c>
      <c r="AI800" s="77" t="b">
        <v>0</v>
      </c>
      <c r="AJ800" s="77"/>
      <c r="AK800" s="77"/>
      <c r="AL800" s="77"/>
      <c r="AM800" s="77"/>
      <c r="AN800" s="77"/>
      <c r="AO800" s="77"/>
      <c r="AP800" s="77"/>
      <c r="AQ800" s="77" t="s">
        <v>4222</v>
      </c>
      <c r="AR800" s="77">
        <v>44125</v>
      </c>
      <c r="AS800" s="77"/>
      <c r="AT800" s="77"/>
      <c r="AU800" s="77"/>
      <c r="AV800" s="80" t="str">
        <f>HYPERLINK("https://pbs.twimg.com/ext_tw_video_thumb/1652010002314346502/pu/img/wnnoMERieLdLMTDq.jpg")</f>
        <v>https://pbs.twimg.com/ext_tw_video_thumb/1652010002314346502/pu/img/wnnoMERieLdLMTDq.jpg</v>
      </c>
      <c r="AW800" s="82" t="s">
        <v>5133</v>
      </c>
      <c r="AX800" s="82" t="s">
        <v>5133</v>
      </c>
      <c r="AY800" s="77"/>
      <c r="AZ800" s="82" t="s">
        <v>5615</v>
      </c>
      <c r="BA800" s="82" t="s">
        <v>5615</v>
      </c>
      <c r="BB800" s="82" t="s">
        <v>5615</v>
      </c>
      <c r="BC800" s="82" t="s">
        <v>5133</v>
      </c>
      <c r="BD800" s="82" t="s">
        <v>6037</v>
      </c>
      <c r="BE800" s="77"/>
      <c r="BF800" s="77"/>
      <c r="BG800" s="77"/>
      <c r="BH800" s="77"/>
      <c r="BI800" s="77"/>
    </row>
    <row r="801" spans="1:61" x14ac:dyDescent="0.25">
      <c r="A801" s="62" t="s">
        <v>478</v>
      </c>
      <c r="B801" s="62" t="s">
        <v>478</v>
      </c>
      <c r="C801" s="63"/>
      <c r="D801" s="64"/>
      <c r="E801" s="65"/>
      <c r="F801" s="66"/>
      <c r="G801" s="63"/>
      <c r="H801" s="67"/>
      <c r="I801" s="68"/>
      <c r="J801" s="68"/>
      <c r="K801" s="32"/>
      <c r="L801" s="75">
        <v>801</v>
      </c>
      <c r="M801" s="75"/>
      <c r="N801" s="70"/>
      <c r="O801" s="77" t="s">
        <v>179</v>
      </c>
      <c r="P801" s="79">
        <v>45043.750717592593</v>
      </c>
      <c r="Q801" s="77" t="s">
        <v>1350</v>
      </c>
      <c r="R801" s="77">
        <v>0</v>
      </c>
      <c r="S801" s="77">
        <v>0</v>
      </c>
      <c r="T801" s="77">
        <v>0</v>
      </c>
      <c r="U801" s="77">
        <v>0</v>
      </c>
      <c r="V801" s="77">
        <v>33</v>
      </c>
      <c r="W801" s="82" t="s">
        <v>1969</v>
      </c>
      <c r="X801" s="77"/>
      <c r="Y801" s="77"/>
      <c r="Z801" s="77"/>
      <c r="AA801" s="77" t="s">
        <v>2597</v>
      </c>
      <c r="AB801" s="77" t="s">
        <v>2713</v>
      </c>
      <c r="AC801" s="82" t="s">
        <v>2721</v>
      </c>
      <c r="AD801" s="77" t="s">
        <v>2752</v>
      </c>
      <c r="AE801" s="80" t="str">
        <f>HYPERLINK("https://twitter.com/investimentoob1/status/1651647659155890177")</f>
        <v>https://twitter.com/investimentoob1/status/1651647659155890177</v>
      </c>
      <c r="AF801" s="79">
        <v>45043.750717592593</v>
      </c>
      <c r="AG801" s="85">
        <v>45043</v>
      </c>
      <c r="AH801" s="82" t="s">
        <v>3544</v>
      </c>
      <c r="AI801" s="77" t="b">
        <v>0</v>
      </c>
      <c r="AJ801" s="77"/>
      <c r="AK801" s="77"/>
      <c r="AL801" s="77"/>
      <c r="AM801" s="77"/>
      <c r="AN801" s="77"/>
      <c r="AO801" s="77"/>
      <c r="AP801" s="77"/>
      <c r="AQ801" s="77" t="s">
        <v>4223</v>
      </c>
      <c r="AR801" s="77">
        <v>47770</v>
      </c>
      <c r="AS801" s="77"/>
      <c r="AT801" s="77"/>
      <c r="AU801" s="77"/>
      <c r="AV801" s="80" t="str">
        <f>HYPERLINK("https://pbs.twimg.com/ext_tw_video_thumb/1651647610640277527/pu/img/LTy4rWoOUXL1-ayr.jpg")</f>
        <v>https://pbs.twimg.com/ext_tw_video_thumb/1651647610640277527/pu/img/LTy4rWoOUXL1-ayr.jpg</v>
      </c>
      <c r="AW801" s="82" t="s">
        <v>5134</v>
      </c>
      <c r="AX801" s="82" t="s">
        <v>5134</v>
      </c>
      <c r="AY801" s="77"/>
      <c r="AZ801" s="82" t="s">
        <v>5615</v>
      </c>
      <c r="BA801" s="82" t="s">
        <v>5615</v>
      </c>
      <c r="BB801" s="82" t="s">
        <v>5615</v>
      </c>
      <c r="BC801" s="82" t="s">
        <v>5134</v>
      </c>
      <c r="BD801" s="82" t="s">
        <v>6037</v>
      </c>
      <c r="BE801" s="77"/>
      <c r="BF801" s="77"/>
      <c r="BG801" s="77"/>
      <c r="BH801" s="77"/>
      <c r="BI801" s="77"/>
    </row>
    <row r="802" spans="1:61" x14ac:dyDescent="0.25">
      <c r="A802" s="62" t="s">
        <v>478</v>
      </c>
      <c r="B802" s="62" t="s">
        <v>478</v>
      </c>
      <c r="C802" s="63"/>
      <c r="D802" s="64"/>
      <c r="E802" s="65"/>
      <c r="F802" s="66"/>
      <c r="G802" s="63"/>
      <c r="H802" s="67"/>
      <c r="I802" s="68"/>
      <c r="J802" s="68"/>
      <c r="K802" s="32"/>
      <c r="L802" s="75">
        <v>802</v>
      </c>
      <c r="M802" s="75"/>
      <c r="N802" s="70"/>
      <c r="O802" s="77" t="s">
        <v>179</v>
      </c>
      <c r="P802" s="79">
        <v>45112.833877314813</v>
      </c>
      <c r="Q802" s="77" t="s">
        <v>1351</v>
      </c>
      <c r="R802" s="77">
        <v>0</v>
      </c>
      <c r="S802" s="77">
        <v>1</v>
      </c>
      <c r="T802" s="77">
        <v>0</v>
      </c>
      <c r="U802" s="77">
        <v>0</v>
      </c>
      <c r="V802" s="77">
        <v>10</v>
      </c>
      <c r="W802" s="82" t="s">
        <v>1963</v>
      </c>
      <c r="X802" s="80" t="str">
        <f>HYPERLINK("https://linktr.ee/investimentoobjetivo")</f>
        <v>https://linktr.ee/investimentoobjetivo</v>
      </c>
      <c r="Y802" s="77" t="s">
        <v>2164</v>
      </c>
      <c r="Z802" s="77"/>
      <c r="AA802" s="77"/>
      <c r="AB802" s="77"/>
      <c r="AC802" s="82" t="s">
        <v>2721</v>
      </c>
      <c r="AD802" s="77" t="s">
        <v>2752</v>
      </c>
      <c r="AE802" s="80" t="str">
        <f>HYPERLINK("https://twitter.com/investimentoob1/status/1676682558451470336")</f>
        <v>https://twitter.com/investimentoob1/status/1676682558451470336</v>
      </c>
      <c r="AF802" s="79">
        <v>45112.833877314813</v>
      </c>
      <c r="AG802" s="85">
        <v>45112</v>
      </c>
      <c r="AH802" s="82" t="s">
        <v>3546</v>
      </c>
      <c r="AI802" s="77" t="b">
        <v>0</v>
      </c>
      <c r="AJ802" s="77"/>
      <c r="AK802" s="77"/>
      <c r="AL802" s="77"/>
      <c r="AM802" s="77"/>
      <c r="AN802" s="77"/>
      <c r="AO802" s="77"/>
      <c r="AP802" s="77"/>
      <c r="AQ802" s="77"/>
      <c r="AR802" s="77"/>
      <c r="AS802" s="77"/>
      <c r="AT802" s="77"/>
      <c r="AU802" s="77"/>
      <c r="AV802" s="80" t="str">
        <f>HYPERLINK("https://pbs.twimg.com/profile_images/1308037131470811138/4qhX5Ihs_normal.png")</f>
        <v>https://pbs.twimg.com/profile_images/1308037131470811138/4qhX5Ihs_normal.png</v>
      </c>
      <c r="AW802" s="82" t="s">
        <v>5135</v>
      </c>
      <c r="AX802" s="82" t="s">
        <v>5135</v>
      </c>
      <c r="AY802" s="77"/>
      <c r="AZ802" s="82" t="s">
        <v>5615</v>
      </c>
      <c r="BA802" s="82" t="s">
        <v>5615</v>
      </c>
      <c r="BB802" s="82" t="s">
        <v>5615</v>
      </c>
      <c r="BC802" s="82" t="s">
        <v>5135</v>
      </c>
      <c r="BD802" s="82" t="s">
        <v>6037</v>
      </c>
      <c r="BE802" s="77"/>
      <c r="BF802" s="77"/>
      <c r="BG802" s="77"/>
      <c r="BH802" s="77"/>
      <c r="BI802" s="77"/>
    </row>
    <row r="803" spans="1:61" x14ac:dyDescent="0.25">
      <c r="A803" s="62" t="s">
        <v>478</v>
      </c>
      <c r="B803" s="62" t="s">
        <v>478</v>
      </c>
      <c r="C803" s="63"/>
      <c r="D803" s="64"/>
      <c r="E803" s="65"/>
      <c r="F803" s="66"/>
      <c r="G803" s="63"/>
      <c r="H803" s="67"/>
      <c r="I803" s="68"/>
      <c r="J803" s="68"/>
      <c r="K803" s="32"/>
      <c r="L803" s="75">
        <v>803</v>
      </c>
      <c r="M803" s="75"/>
      <c r="N803" s="70"/>
      <c r="O803" s="77" t="s">
        <v>179</v>
      </c>
      <c r="P803" s="79">
        <v>45112.750416666669</v>
      </c>
      <c r="Q803" s="77" t="s">
        <v>1352</v>
      </c>
      <c r="R803" s="77">
        <v>0</v>
      </c>
      <c r="S803" s="77">
        <v>0</v>
      </c>
      <c r="T803" s="77">
        <v>0</v>
      </c>
      <c r="U803" s="77">
        <v>0</v>
      </c>
      <c r="V803" s="77">
        <v>11</v>
      </c>
      <c r="W803" s="82" t="s">
        <v>1963</v>
      </c>
      <c r="X803" s="80" t="str">
        <f>HYPERLINK("https://linktr.ee/investimentoobjetivo")</f>
        <v>https://linktr.ee/investimentoobjetivo</v>
      </c>
      <c r="Y803" s="77" t="s">
        <v>2164</v>
      </c>
      <c r="Z803" s="77"/>
      <c r="AA803" s="77"/>
      <c r="AB803" s="77"/>
      <c r="AC803" s="82" t="s">
        <v>2721</v>
      </c>
      <c r="AD803" s="77" t="s">
        <v>2752</v>
      </c>
      <c r="AE803" s="80" t="str">
        <f>HYPERLINK("https://twitter.com/investimentoob1/status/1676652309986549772")</f>
        <v>https://twitter.com/investimentoob1/status/1676652309986549772</v>
      </c>
      <c r="AF803" s="79">
        <v>45112.750416666669</v>
      </c>
      <c r="AG803" s="85">
        <v>45112</v>
      </c>
      <c r="AH803" s="82" t="s">
        <v>3547</v>
      </c>
      <c r="AI803" s="77" t="b">
        <v>0</v>
      </c>
      <c r="AJ803" s="77"/>
      <c r="AK803" s="77"/>
      <c r="AL803" s="77"/>
      <c r="AM803" s="77"/>
      <c r="AN803" s="77"/>
      <c r="AO803" s="77"/>
      <c r="AP803" s="77"/>
      <c r="AQ803" s="77"/>
      <c r="AR803" s="77"/>
      <c r="AS803" s="77"/>
      <c r="AT803" s="77"/>
      <c r="AU803" s="77"/>
      <c r="AV803" s="80" t="str">
        <f>HYPERLINK("https://pbs.twimg.com/profile_images/1308037131470811138/4qhX5Ihs_normal.png")</f>
        <v>https://pbs.twimg.com/profile_images/1308037131470811138/4qhX5Ihs_normal.png</v>
      </c>
      <c r="AW803" s="82" t="s">
        <v>5136</v>
      </c>
      <c r="AX803" s="82" t="s">
        <v>5136</v>
      </c>
      <c r="AY803" s="77"/>
      <c r="AZ803" s="82" t="s">
        <v>5615</v>
      </c>
      <c r="BA803" s="82" t="s">
        <v>5615</v>
      </c>
      <c r="BB803" s="82" t="s">
        <v>5615</v>
      </c>
      <c r="BC803" s="82" t="s">
        <v>5136</v>
      </c>
      <c r="BD803" s="82" t="s">
        <v>6037</v>
      </c>
      <c r="BE803" s="77"/>
      <c r="BF803" s="77"/>
      <c r="BG803" s="77"/>
      <c r="BH803" s="77"/>
      <c r="BI803" s="77"/>
    </row>
    <row r="804" spans="1:61" x14ac:dyDescent="0.25">
      <c r="A804" s="62" t="s">
        <v>478</v>
      </c>
      <c r="B804" s="62" t="s">
        <v>478</v>
      </c>
      <c r="C804" s="63"/>
      <c r="D804" s="64"/>
      <c r="E804" s="65"/>
      <c r="F804" s="66"/>
      <c r="G804" s="63"/>
      <c r="H804" s="67"/>
      <c r="I804" s="68"/>
      <c r="J804" s="68"/>
      <c r="K804" s="32"/>
      <c r="L804" s="75">
        <v>804</v>
      </c>
      <c r="M804" s="75"/>
      <c r="N804" s="70"/>
      <c r="O804" s="77" t="s">
        <v>179</v>
      </c>
      <c r="P804" s="79">
        <v>45112.708796296298</v>
      </c>
      <c r="Q804" s="77" t="s">
        <v>1353</v>
      </c>
      <c r="R804" s="77">
        <v>0</v>
      </c>
      <c r="S804" s="77">
        <v>0</v>
      </c>
      <c r="T804" s="77">
        <v>0</v>
      </c>
      <c r="U804" s="77">
        <v>0</v>
      </c>
      <c r="V804" s="77">
        <v>5</v>
      </c>
      <c r="W804" s="82" t="s">
        <v>1963</v>
      </c>
      <c r="X804" s="80" t="str">
        <f>HYPERLINK("https://linktr.ee/investimentoobjetivo")</f>
        <v>https://linktr.ee/investimentoobjetivo</v>
      </c>
      <c r="Y804" s="77" t="s">
        <v>2164</v>
      </c>
      <c r="Z804" s="77"/>
      <c r="AA804" s="77"/>
      <c r="AB804" s="77"/>
      <c r="AC804" s="82" t="s">
        <v>2721</v>
      </c>
      <c r="AD804" s="77" t="s">
        <v>2752</v>
      </c>
      <c r="AE804" s="80" t="str">
        <f>HYPERLINK("https://twitter.com/investimentoob1/status/1676637228016042122")</f>
        <v>https://twitter.com/investimentoob1/status/1676637228016042122</v>
      </c>
      <c r="AF804" s="79">
        <v>45112.708796296298</v>
      </c>
      <c r="AG804" s="85">
        <v>45112</v>
      </c>
      <c r="AH804" s="82" t="s">
        <v>3548</v>
      </c>
      <c r="AI804" s="77" t="b">
        <v>0</v>
      </c>
      <c r="AJ804" s="77"/>
      <c r="AK804" s="77"/>
      <c r="AL804" s="77"/>
      <c r="AM804" s="77"/>
      <c r="AN804" s="77"/>
      <c r="AO804" s="77"/>
      <c r="AP804" s="77"/>
      <c r="AQ804" s="77"/>
      <c r="AR804" s="77"/>
      <c r="AS804" s="77"/>
      <c r="AT804" s="77"/>
      <c r="AU804" s="77"/>
      <c r="AV804" s="80" t="str">
        <f>HYPERLINK("https://pbs.twimg.com/profile_images/1308037131470811138/4qhX5Ihs_normal.png")</f>
        <v>https://pbs.twimg.com/profile_images/1308037131470811138/4qhX5Ihs_normal.png</v>
      </c>
      <c r="AW804" s="82" t="s">
        <v>5137</v>
      </c>
      <c r="AX804" s="82" t="s">
        <v>5137</v>
      </c>
      <c r="AY804" s="77"/>
      <c r="AZ804" s="82" t="s">
        <v>5615</v>
      </c>
      <c r="BA804" s="82" t="s">
        <v>5615</v>
      </c>
      <c r="BB804" s="82" t="s">
        <v>5615</v>
      </c>
      <c r="BC804" s="82" t="s">
        <v>5137</v>
      </c>
      <c r="BD804" s="82" t="s">
        <v>6037</v>
      </c>
      <c r="BE804" s="77"/>
      <c r="BF804" s="77"/>
      <c r="BG804" s="77"/>
      <c r="BH804" s="77"/>
      <c r="BI804" s="77"/>
    </row>
    <row r="805" spans="1:61" x14ac:dyDescent="0.25">
      <c r="A805" s="62" t="s">
        <v>478</v>
      </c>
      <c r="B805" s="62" t="s">
        <v>478</v>
      </c>
      <c r="C805" s="63"/>
      <c r="D805" s="64"/>
      <c r="E805" s="65"/>
      <c r="F805" s="66"/>
      <c r="G805" s="63"/>
      <c r="H805" s="67"/>
      <c r="I805" s="68"/>
      <c r="J805" s="68"/>
      <c r="K805" s="32"/>
      <c r="L805" s="75">
        <v>805</v>
      </c>
      <c r="M805" s="75"/>
      <c r="N805" s="70"/>
      <c r="O805" s="77" t="s">
        <v>179</v>
      </c>
      <c r="P805" s="79">
        <v>45112.667187500003</v>
      </c>
      <c r="Q805" s="77" t="s">
        <v>1354</v>
      </c>
      <c r="R805" s="77">
        <v>0</v>
      </c>
      <c r="S805" s="77">
        <v>0</v>
      </c>
      <c r="T805" s="77">
        <v>0</v>
      </c>
      <c r="U805" s="77">
        <v>0</v>
      </c>
      <c r="V805" s="77">
        <v>8</v>
      </c>
      <c r="W805" s="82" t="s">
        <v>1963</v>
      </c>
      <c r="X805" s="80" t="str">
        <f>HYPERLINK("https://linktr.ee/investimentoobjetivo")</f>
        <v>https://linktr.ee/investimentoobjetivo</v>
      </c>
      <c r="Y805" s="77" t="s">
        <v>2164</v>
      </c>
      <c r="Z805" s="77"/>
      <c r="AA805" s="77"/>
      <c r="AB805" s="77"/>
      <c r="AC805" s="82" t="s">
        <v>2721</v>
      </c>
      <c r="AD805" s="77" t="s">
        <v>2752</v>
      </c>
      <c r="AE805" s="80" t="str">
        <f>HYPERLINK("https://twitter.com/investimentoob1/status/1676622148742283264")</f>
        <v>https://twitter.com/investimentoob1/status/1676622148742283264</v>
      </c>
      <c r="AF805" s="79">
        <v>45112.667187500003</v>
      </c>
      <c r="AG805" s="85">
        <v>45112</v>
      </c>
      <c r="AH805" s="82" t="s">
        <v>3549</v>
      </c>
      <c r="AI805" s="77" t="b">
        <v>0</v>
      </c>
      <c r="AJ805" s="77"/>
      <c r="AK805" s="77"/>
      <c r="AL805" s="77"/>
      <c r="AM805" s="77"/>
      <c r="AN805" s="77"/>
      <c r="AO805" s="77"/>
      <c r="AP805" s="77"/>
      <c r="AQ805" s="77"/>
      <c r="AR805" s="77"/>
      <c r="AS805" s="77"/>
      <c r="AT805" s="77"/>
      <c r="AU805" s="77"/>
      <c r="AV805" s="80" t="str">
        <f>HYPERLINK("https://pbs.twimg.com/profile_images/1308037131470811138/4qhX5Ihs_normal.png")</f>
        <v>https://pbs.twimg.com/profile_images/1308037131470811138/4qhX5Ihs_normal.png</v>
      </c>
      <c r="AW805" s="82" t="s">
        <v>5138</v>
      </c>
      <c r="AX805" s="82" t="s">
        <v>5138</v>
      </c>
      <c r="AY805" s="77"/>
      <c r="AZ805" s="82" t="s">
        <v>5615</v>
      </c>
      <c r="BA805" s="82" t="s">
        <v>5615</v>
      </c>
      <c r="BB805" s="82" t="s">
        <v>5615</v>
      </c>
      <c r="BC805" s="82" t="s">
        <v>5138</v>
      </c>
      <c r="BD805" s="82" t="s">
        <v>6037</v>
      </c>
      <c r="BE805" s="77"/>
      <c r="BF805" s="77"/>
      <c r="BG805" s="77"/>
      <c r="BH805" s="77"/>
      <c r="BI805" s="77"/>
    </row>
    <row r="806" spans="1:61" x14ac:dyDescent="0.25">
      <c r="A806" s="62" t="s">
        <v>478</v>
      </c>
      <c r="B806" s="62" t="s">
        <v>478</v>
      </c>
      <c r="C806" s="63"/>
      <c r="D806" s="64"/>
      <c r="E806" s="65"/>
      <c r="F806" s="66"/>
      <c r="G806" s="63"/>
      <c r="H806" s="67"/>
      <c r="I806" s="68"/>
      <c r="J806" s="68"/>
      <c r="K806" s="32"/>
      <c r="L806" s="75">
        <v>806</v>
      </c>
      <c r="M806" s="75"/>
      <c r="N806" s="70"/>
      <c r="O806" s="77" t="s">
        <v>179</v>
      </c>
      <c r="P806" s="79">
        <v>45112.625543981485</v>
      </c>
      <c r="Q806" s="77" t="s">
        <v>1355</v>
      </c>
      <c r="R806" s="77">
        <v>0</v>
      </c>
      <c r="S806" s="77">
        <v>0</v>
      </c>
      <c r="T806" s="77">
        <v>0</v>
      </c>
      <c r="U806" s="77">
        <v>0</v>
      </c>
      <c r="V806" s="77">
        <v>11</v>
      </c>
      <c r="W806" s="82" t="s">
        <v>1963</v>
      </c>
      <c r="X806" s="80" t="str">
        <f>HYPERLINK("https://linktr.ee/investimentoobjetivo")</f>
        <v>https://linktr.ee/investimentoobjetivo</v>
      </c>
      <c r="Y806" s="77" t="s">
        <v>2164</v>
      </c>
      <c r="Z806" s="77"/>
      <c r="AA806" s="77"/>
      <c r="AB806" s="77"/>
      <c r="AC806" s="82" t="s">
        <v>2721</v>
      </c>
      <c r="AD806" s="77" t="s">
        <v>2752</v>
      </c>
      <c r="AE806" s="80" t="str">
        <f>HYPERLINK("https://twitter.com/investimentoob1/status/1676607058009899009")</f>
        <v>https://twitter.com/investimentoob1/status/1676607058009899009</v>
      </c>
      <c r="AF806" s="79">
        <v>45112.625543981485</v>
      </c>
      <c r="AG806" s="85">
        <v>45112</v>
      </c>
      <c r="AH806" s="82" t="s">
        <v>3550</v>
      </c>
      <c r="AI806" s="77" t="b">
        <v>0</v>
      </c>
      <c r="AJ806" s="77"/>
      <c r="AK806" s="77"/>
      <c r="AL806" s="77"/>
      <c r="AM806" s="77"/>
      <c r="AN806" s="77"/>
      <c r="AO806" s="77"/>
      <c r="AP806" s="77"/>
      <c r="AQ806" s="77"/>
      <c r="AR806" s="77"/>
      <c r="AS806" s="77"/>
      <c r="AT806" s="77"/>
      <c r="AU806" s="77"/>
      <c r="AV806" s="80" t="str">
        <f>HYPERLINK("https://pbs.twimg.com/profile_images/1308037131470811138/4qhX5Ihs_normal.png")</f>
        <v>https://pbs.twimg.com/profile_images/1308037131470811138/4qhX5Ihs_normal.png</v>
      </c>
      <c r="AW806" s="82" t="s">
        <v>5139</v>
      </c>
      <c r="AX806" s="82" t="s">
        <v>5139</v>
      </c>
      <c r="AY806" s="77"/>
      <c r="AZ806" s="82" t="s">
        <v>5615</v>
      </c>
      <c r="BA806" s="82" t="s">
        <v>5615</v>
      </c>
      <c r="BB806" s="82" t="s">
        <v>5615</v>
      </c>
      <c r="BC806" s="82" t="s">
        <v>5139</v>
      </c>
      <c r="BD806" s="82" t="s">
        <v>6037</v>
      </c>
      <c r="BE806" s="77"/>
      <c r="BF806" s="77"/>
      <c r="BG806" s="77"/>
      <c r="BH806" s="77"/>
      <c r="BI806" s="77"/>
    </row>
    <row r="807" spans="1:61" x14ac:dyDescent="0.25">
      <c r="A807" s="62" t="s">
        <v>478</v>
      </c>
      <c r="B807" s="62" t="s">
        <v>478</v>
      </c>
      <c r="C807" s="63"/>
      <c r="D807" s="64"/>
      <c r="E807" s="65"/>
      <c r="F807" s="66"/>
      <c r="G807" s="63"/>
      <c r="H807" s="67"/>
      <c r="I807" s="68"/>
      <c r="J807" s="68"/>
      <c r="K807" s="32"/>
      <c r="L807" s="75">
        <v>807</v>
      </c>
      <c r="M807" s="75"/>
      <c r="N807" s="70"/>
      <c r="O807" s="77" t="s">
        <v>179</v>
      </c>
      <c r="P807" s="79">
        <v>45108.542210648149</v>
      </c>
      <c r="Q807" s="77" t="s">
        <v>1356</v>
      </c>
      <c r="R807" s="77">
        <v>0</v>
      </c>
      <c r="S807" s="77">
        <v>0</v>
      </c>
      <c r="T807" s="77">
        <v>0</v>
      </c>
      <c r="U807" s="77">
        <v>0</v>
      </c>
      <c r="V807" s="77">
        <v>47</v>
      </c>
      <c r="W807" s="82" t="s">
        <v>1960</v>
      </c>
      <c r="X807" s="77"/>
      <c r="Y807" s="77"/>
      <c r="Z807" s="77"/>
      <c r="AA807" s="77" t="s">
        <v>2598</v>
      </c>
      <c r="AB807" s="77" t="s">
        <v>2713</v>
      </c>
      <c r="AC807" s="82" t="s">
        <v>2721</v>
      </c>
      <c r="AD807" s="77" t="s">
        <v>2752</v>
      </c>
      <c r="AE807" s="80" t="str">
        <f>HYPERLINK("https://twitter.com/investimentoob1/status/1675127311081807872")</f>
        <v>https://twitter.com/investimentoob1/status/1675127311081807872</v>
      </c>
      <c r="AF807" s="79">
        <v>45108.542210648149</v>
      </c>
      <c r="AG807" s="85">
        <v>45108</v>
      </c>
      <c r="AH807" s="82" t="s">
        <v>3551</v>
      </c>
      <c r="AI807" s="77" t="b">
        <v>0</v>
      </c>
      <c r="AJ807" s="77"/>
      <c r="AK807" s="77"/>
      <c r="AL807" s="77"/>
      <c r="AM807" s="77"/>
      <c r="AN807" s="77"/>
      <c r="AO807" s="77"/>
      <c r="AP807" s="77"/>
      <c r="AQ807" s="77" t="s">
        <v>4224</v>
      </c>
      <c r="AR807" s="77">
        <v>11033</v>
      </c>
      <c r="AS807" s="77"/>
      <c r="AT807" s="77"/>
      <c r="AU807" s="77"/>
      <c r="AV807" s="80" t="str">
        <f>HYPERLINK("https://pbs.twimg.com/ext_tw_video_thumb/1675127287082041345/pu/img/GL6xMLrcfaUkck6e.jpg")</f>
        <v>https://pbs.twimg.com/ext_tw_video_thumb/1675127287082041345/pu/img/GL6xMLrcfaUkck6e.jpg</v>
      </c>
      <c r="AW807" s="82" t="s">
        <v>5140</v>
      </c>
      <c r="AX807" s="82" t="s">
        <v>5140</v>
      </c>
      <c r="AY807" s="77"/>
      <c r="AZ807" s="82" t="s">
        <v>5615</v>
      </c>
      <c r="BA807" s="82" t="s">
        <v>5615</v>
      </c>
      <c r="BB807" s="82" t="s">
        <v>5615</v>
      </c>
      <c r="BC807" s="82" t="s">
        <v>5140</v>
      </c>
      <c r="BD807" s="82" t="s">
        <v>6037</v>
      </c>
      <c r="BE807" s="77"/>
      <c r="BF807" s="77"/>
      <c r="BG807" s="77"/>
      <c r="BH807" s="77"/>
      <c r="BI807" s="77"/>
    </row>
    <row r="808" spans="1:61" x14ac:dyDescent="0.25">
      <c r="A808" s="62" t="s">
        <v>478</v>
      </c>
      <c r="B808" s="62" t="s">
        <v>478</v>
      </c>
      <c r="C808" s="63"/>
      <c r="D808" s="64"/>
      <c r="E808" s="65"/>
      <c r="F808" s="66"/>
      <c r="G808" s="63"/>
      <c r="H808" s="67"/>
      <c r="I808" s="68"/>
      <c r="J808" s="68"/>
      <c r="K808" s="32"/>
      <c r="L808" s="75">
        <v>808</v>
      </c>
      <c r="M808" s="75"/>
      <c r="N808" s="70"/>
      <c r="O808" s="77" t="s">
        <v>179</v>
      </c>
      <c r="P808" s="79">
        <v>45107.750601851854</v>
      </c>
      <c r="Q808" s="77" t="s">
        <v>1357</v>
      </c>
      <c r="R808" s="77">
        <v>0</v>
      </c>
      <c r="S808" s="77">
        <v>0</v>
      </c>
      <c r="T808" s="77">
        <v>0</v>
      </c>
      <c r="U808" s="77">
        <v>0</v>
      </c>
      <c r="V808" s="77">
        <v>20</v>
      </c>
      <c r="W808" s="82" t="s">
        <v>1959</v>
      </c>
      <c r="X808" s="77"/>
      <c r="Y808" s="77"/>
      <c r="Z808" s="77"/>
      <c r="AA808" s="77" t="s">
        <v>2599</v>
      </c>
      <c r="AB808" s="77" t="s">
        <v>2713</v>
      </c>
      <c r="AC808" s="82" t="s">
        <v>2721</v>
      </c>
      <c r="AD808" s="77" t="s">
        <v>2752</v>
      </c>
      <c r="AE808" s="80" t="str">
        <f>HYPERLINK("https://twitter.com/investimentoob1/status/1674840437855485977")</f>
        <v>https://twitter.com/investimentoob1/status/1674840437855485977</v>
      </c>
      <c r="AF808" s="79">
        <v>45107.750601851854</v>
      </c>
      <c r="AG808" s="85">
        <v>45107</v>
      </c>
      <c r="AH808" s="82" t="s">
        <v>3552</v>
      </c>
      <c r="AI808" s="77" t="b">
        <v>0</v>
      </c>
      <c r="AJ808" s="77"/>
      <c r="AK808" s="77"/>
      <c r="AL808" s="77"/>
      <c r="AM808" s="77"/>
      <c r="AN808" s="77"/>
      <c r="AO808" s="77"/>
      <c r="AP808" s="77"/>
      <c r="AQ808" s="77" t="s">
        <v>4225</v>
      </c>
      <c r="AR808" s="77">
        <v>11066</v>
      </c>
      <c r="AS808" s="77"/>
      <c r="AT808" s="77"/>
      <c r="AU808" s="77"/>
      <c r="AV808" s="80" t="str">
        <f>HYPERLINK("https://pbs.twimg.com/ext_tw_video_thumb/1674840414862360578/pu/img/u1Bb99pKtVsw3fIG.jpg")</f>
        <v>https://pbs.twimg.com/ext_tw_video_thumb/1674840414862360578/pu/img/u1Bb99pKtVsw3fIG.jpg</v>
      </c>
      <c r="AW808" s="82" t="s">
        <v>5141</v>
      </c>
      <c r="AX808" s="82" t="s">
        <v>5141</v>
      </c>
      <c r="AY808" s="77"/>
      <c r="AZ808" s="82" t="s">
        <v>5615</v>
      </c>
      <c r="BA808" s="82" t="s">
        <v>5615</v>
      </c>
      <c r="BB808" s="82" t="s">
        <v>5615</v>
      </c>
      <c r="BC808" s="82" t="s">
        <v>5141</v>
      </c>
      <c r="BD808" s="82" t="s">
        <v>6037</v>
      </c>
      <c r="BE808" s="77"/>
      <c r="BF808" s="77"/>
      <c r="BG808" s="77"/>
      <c r="BH808" s="77"/>
      <c r="BI808" s="77"/>
    </row>
    <row r="809" spans="1:61" x14ac:dyDescent="0.25">
      <c r="A809" s="62" t="s">
        <v>478</v>
      </c>
      <c r="B809" s="62" t="s">
        <v>478</v>
      </c>
      <c r="C809" s="63"/>
      <c r="D809" s="64"/>
      <c r="E809" s="65"/>
      <c r="F809" s="66"/>
      <c r="G809" s="63"/>
      <c r="H809" s="67"/>
      <c r="I809" s="68"/>
      <c r="J809" s="68"/>
      <c r="K809" s="32"/>
      <c r="L809" s="75">
        <v>809</v>
      </c>
      <c r="M809" s="75"/>
      <c r="N809" s="70"/>
      <c r="O809" s="77" t="s">
        <v>179</v>
      </c>
      <c r="P809" s="79">
        <v>45105.667210648149</v>
      </c>
      <c r="Q809" s="77" t="s">
        <v>1358</v>
      </c>
      <c r="R809" s="77">
        <v>0</v>
      </c>
      <c r="S809" s="77">
        <v>0</v>
      </c>
      <c r="T809" s="77">
        <v>0</v>
      </c>
      <c r="U809" s="77">
        <v>0</v>
      </c>
      <c r="V809" s="77">
        <v>9</v>
      </c>
      <c r="W809" s="82" t="s">
        <v>1966</v>
      </c>
      <c r="X809" s="77"/>
      <c r="Y809" s="77"/>
      <c r="Z809" s="77"/>
      <c r="AA809" s="77" t="s">
        <v>2600</v>
      </c>
      <c r="AB809" s="77" t="s">
        <v>2713</v>
      </c>
      <c r="AC809" s="82" t="s">
        <v>2721</v>
      </c>
      <c r="AD809" s="77" t="s">
        <v>2752</v>
      </c>
      <c r="AE809" s="80" t="str">
        <f>HYPERLINK("https://twitter.com/investimentoob1/status/1674085444487610368")</f>
        <v>https://twitter.com/investimentoob1/status/1674085444487610368</v>
      </c>
      <c r="AF809" s="79">
        <v>45105.667210648149</v>
      </c>
      <c r="AG809" s="85">
        <v>45105</v>
      </c>
      <c r="AH809" s="82" t="s">
        <v>3553</v>
      </c>
      <c r="AI809" s="77" t="b">
        <v>0</v>
      </c>
      <c r="AJ809" s="77"/>
      <c r="AK809" s="77"/>
      <c r="AL809" s="77"/>
      <c r="AM809" s="77"/>
      <c r="AN809" s="77"/>
      <c r="AO809" s="77"/>
      <c r="AP809" s="77"/>
      <c r="AQ809" s="77" t="s">
        <v>4226</v>
      </c>
      <c r="AR809" s="77">
        <v>11066</v>
      </c>
      <c r="AS809" s="77"/>
      <c r="AT809" s="77"/>
      <c r="AU809" s="77"/>
      <c r="AV809" s="80" t="str">
        <f>HYPERLINK("https://pbs.twimg.com/ext_tw_video_thumb/1674085421096005634/pu/img/nqRoO9GJTg62R23L.jpg")</f>
        <v>https://pbs.twimg.com/ext_tw_video_thumb/1674085421096005634/pu/img/nqRoO9GJTg62R23L.jpg</v>
      </c>
      <c r="AW809" s="82" t="s">
        <v>5142</v>
      </c>
      <c r="AX809" s="82" t="s">
        <v>5142</v>
      </c>
      <c r="AY809" s="77"/>
      <c r="AZ809" s="82" t="s">
        <v>5615</v>
      </c>
      <c r="BA809" s="82" t="s">
        <v>5615</v>
      </c>
      <c r="BB809" s="82" t="s">
        <v>5615</v>
      </c>
      <c r="BC809" s="82" t="s">
        <v>5142</v>
      </c>
      <c r="BD809" s="82" t="s">
        <v>6037</v>
      </c>
      <c r="BE809" s="77"/>
      <c r="BF809" s="77"/>
      <c r="BG809" s="77"/>
      <c r="BH809" s="77"/>
      <c r="BI809" s="77"/>
    </row>
    <row r="810" spans="1:61" x14ac:dyDescent="0.25">
      <c r="A810" s="62" t="s">
        <v>478</v>
      </c>
      <c r="B810" s="62" t="s">
        <v>478</v>
      </c>
      <c r="C810" s="63"/>
      <c r="D810" s="64"/>
      <c r="E810" s="65"/>
      <c r="F810" s="66"/>
      <c r="G810" s="63"/>
      <c r="H810" s="67"/>
      <c r="I810" s="68"/>
      <c r="J810" s="68"/>
      <c r="K810" s="32"/>
      <c r="L810" s="75">
        <v>810</v>
      </c>
      <c r="M810" s="75"/>
      <c r="N810" s="70"/>
      <c r="O810" s="77" t="s">
        <v>179</v>
      </c>
      <c r="P810" s="79">
        <v>45105.584016203706</v>
      </c>
      <c r="Q810" s="77" t="s">
        <v>1359</v>
      </c>
      <c r="R810" s="77">
        <v>0</v>
      </c>
      <c r="S810" s="77">
        <v>0</v>
      </c>
      <c r="T810" s="77">
        <v>0</v>
      </c>
      <c r="U810" s="77">
        <v>0</v>
      </c>
      <c r="V810" s="77">
        <v>19</v>
      </c>
      <c r="W810" s="82" t="s">
        <v>1964</v>
      </c>
      <c r="X810" s="77"/>
      <c r="Y810" s="77"/>
      <c r="Z810" s="77"/>
      <c r="AA810" s="77" t="s">
        <v>2601</v>
      </c>
      <c r="AB810" s="77" t="s">
        <v>2713</v>
      </c>
      <c r="AC810" s="82" t="s">
        <v>2721</v>
      </c>
      <c r="AD810" s="77" t="s">
        <v>2752</v>
      </c>
      <c r="AE810" s="80" t="str">
        <f>HYPERLINK("https://twitter.com/investimentoob1/status/1674055295381696512")</f>
        <v>https://twitter.com/investimentoob1/status/1674055295381696512</v>
      </c>
      <c r="AF810" s="79">
        <v>45105.584016203706</v>
      </c>
      <c r="AG810" s="85">
        <v>45105</v>
      </c>
      <c r="AH810" s="82" t="s">
        <v>3554</v>
      </c>
      <c r="AI810" s="77" t="b">
        <v>0</v>
      </c>
      <c r="AJ810" s="77"/>
      <c r="AK810" s="77"/>
      <c r="AL810" s="77"/>
      <c r="AM810" s="77"/>
      <c r="AN810" s="77"/>
      <c r="AO810" s="77"/>
      <c r="AP810" s="77"/>
      <c r="AQ810" s="77" t="s">
        <v>4227</v>
      </c>
      <c r="AR810" s="77">
        <v>11033</v>
      </c>
      <c r="AS810" s="77"/>
      <c r="AT810" s="77"/>
      <c r="AU810" s="77"/>
      <c r="AV810" s="80" t="str">
        <f>HYPERLINK("https://pbs.twimg.com/ext_tw_video_thumb/1674055249055690753/pu/img/gDTgytdL4_MReIQs.jpg")</f>
        <v>https://pbs.twimg.com/ext_tw_video_thumb/1674055249055690753/pu/img/gDTgytdL4_MReIQs.jpg</v>
      </c>
      <c r="AW810" s="82" t="s">
        <v>5143</v>
      </c>
      <c r="AX810" s="82" t="s">
        <v>5143</v>
      </c>
      <c r="AY810" s="77"/>
      <c r="AZ810" s="82" t="s">
        <v>5615</v>
      </c>
      <c r="BA810" s="82" t="s">
        <v>5615</v>
      </c>
      <c r="BB810" s="82" t="s">
        <v>5615</v>
      </c>
      <c r="BC810" s="82" t="s">
        <v>5143</v>
      </c>
      <c r="BD810" s="82" t="s">
        <v>6037</v>
      </c>
      <c r="BE810" s="77"/>
      <c r="BF810" s="77"/>
      <c r="BG810" s="77"/>
      <c r="BH810" s="77"/>
      <c r="BI810" s="77"/>
    </row>
    <row r="811" spans="1:61" x14ac:dyDescent="0.25">
      <c r="A811" s="62" t="s">
        <v>478</v>
      </c>
      <c r="B811" s="62" t="s">
        <v>478</v>
      </c>
      <c r="C811" s="63"/>
      <c r="D811" s="64"/>
      <c r="E811" s="65"/>
      <c r="F811" s="66"/>
      <c r="G811" s="63"/>
      <c r="H811" s="67"/>
      <c r="I811" s="68"/>
      <c r="J811" s="68"/>
      <c r="K811" s="32"/>
      <c r="L811" s="75">
        <v>811</v>
      </c>
      <c r="M811" s="75"/>
      <c r="N811" s="70"/>
      <c r="O811" s="77" t="s">
        <v>179</v>
      </c>
      <c r="P811" s="79">
        <v>45105.500567129631</v>
      </c>
      <c r="Q811" s="77" t="s">
        <v>1360</v>
      </c>
      <c r="R811" s="77">
        <v>0</v>
      </c>
      <c r="S811" s="77">
        <v>0</v>
      </c>
      <c r="T811" s="77">
        <v>1</v>
      </c>
      <c r="U811" s="77">
        <v>0</v>
      </c>
      <c r="V811" s="77">
        <v>29</v>
      </c>
      <c r="W811" s="82" t="s">
        <v>1960</v>
      </c>
      <c r="X811" s="77"/>
      <c r="Y811" s="77"/>
      <c r="Z811" s="77"/>
      <c r="AA811" s="77" t="s">
        <v>2602</v>
      </c>
      <c r="AB811" s="77" t="s">
        <v>2713</v>
      </c>
      <c r="AC811" s="82" t="s">
        <v>2721</v>
      </c>
      <c r="AD811" s="77" t="s">
        <v>2752</v>
      </c>
      <c r="AE811" s="80" t="str">
        <f>HYPERLINK("https://twitter.com/investimentoob1/status/1674025054605135872")</f>
        <v>https://twitter.com/investimentoob1/status/1674025054605135872</v>
      </c>
      <c r="AF811" s="79">
        <v>45105.500567129631</v>
      </c>
      <c r="AG811" s="85">
        <v>45105</v>
      </c>
      <c r="AH811" s="82" t="s">
        <v>3555</v>
      </c>
      <c r="AI811" s="77" t="b">
        <v>0</v>
      </c>
      <c r="AJ811" s="77"/>
      <c r="AK811" s="77"/>
      <c r="AL811" s="77"/>
      <c r="AM811" s="77"/>
      <c r="AN811" s="77"/>
      <c r="AO811" s="77"/>
      <c r="AP811" s="77"/>
      <c r="AQ811" s="77" t="s">
        <v>4228</v>
      </c>
      <c r="AR811" s="77">
        <v>11033</v>
      </c>
      <c r="AS811" s="77"/>
      <c r="AT811" s="77"/>
      <c r="AU811" s="77"/>
      <c r="AV811" s="80" t="str">
        <f>HYPERLINK("https://pbs.twimg.com/ext_tw_video_thumb/1674025031695843331/pu/img/_xW3K7nwr40fnII-.jpg")</f>
        <v>https://pbs.twimg.com/ext_tw_video_thumb/1674025031695843331/pu/img/_xW3K7nwr40fnII-.jpg</v>
      </c>
      <c r="AW811" s="82" t="s">
        <v>5144</v>
      </c>
      <c r="AX811" s="82" t="s">
        <v>5144</v>
      </c>
      <c r="AY811" s="77"/>
      <c r="AZ811" s="82" t="s">
        <v>5615</v>
      </c>
      <c r="BA811" s="82" t="s">
        <v>5615</v>
      </c>
      <c r="BB811" s="82" t="s">
        <v>5615</v>
      </c>
      <c r="BC811" s="82" t="s">
        <v>5144</v>
      </c>
      <c r="BD811" s="82" t="s">
        <v>6037</v>
      </c>
      <c r="BE811" s="77"/>
      <c r="BF811" s="77"/>
      <c r="BG811" s="77"/>
      <c r="BH811" s="77"/>
      <c r="BI811" s="77"/>
    </row>
    <row r="812" spans="1:61" x14ac:dyDescent="0.25">
      <c r="A812" s="62" t="s">
        <v>478</v>
      </c>
      <c r="B812" s="62" t="s">
        <v>478</v>
      </c>
      <c r="C812" s="63"/>
      <c r="D812" s="64"/>
      <c r="E812" s="65"/>
      <c r="F812" s="66"/>
      <c r="G812" s="63"/>
      <c r="H812" s="67"/>
      <c r="I812" s="68"/>
      <c r="J812" s="68"/>
      <c r="K812" s="32"/>
      <c r="L812" s="75">
        <v>812</v>
      </c>
      <c r="M812" s="75"/>
      <c r="N812" s="70"/>
      <c r="O812" s="77" t="s">
        <v>179</v>
      </c>
      <c r="P812" s="79">
        <v>45104.958877314813</v>
      </c>
      <c r="Q812" s="77" t="s">
        <v>1361</v>
      </c>
      <c r="R812" s="77">
        <v>0</v>
      </c>
      <c r="S812" s="77">
        <v>0</v>
      </c>
      <c r="T812" s="77">
        <v>0</v>
      </c>
      <c r="U812" s="77">
        <v>0</v>
      </c>
      <c r="V812" s="77">
        <v>15</v>
      </c>
      <c r="W812" s="82" t="s">
        <v>1965</v>
      </c>
      <c r="X812" s="77"/>
      <c r="Y812" s="77"/>
      <c r="Z812" s="77"/>
      <c r="AA812" s="77" t="s">
        <v>2603</v>
      </c>
      <c r="AB812" s="77" t="s">
        <v>2713</v>
      </c>
      <c r="AC812" s="82" t="s">
        <v>2721</v>
      </c>
      <c r="AD812" s="77" t="s">
        <v>2752</v>
      </c>
      <c r="AE812" s="80" t="str">
        <f>HYPERLINK("https://twitter.com/investimentoob1/status/1673828751543615489")</f>
        <v>https://twitter.com/investimentoob1/status/1673828751543615489</v>
      </c>
      <c r="AF812" s="79">
        <v>45104.958877314813</v>
      </c>
      <c r="AG812" s="85">
        <v>45104</v>
      </c>
      <c r="AH812" s="82" t="s">
        <v>3556</v>
      </c>
      <c r="AI812" s="77" t="b">
        <v>0</v>
      </c>
      <c r="AJ812" s="77"/>
      <c r="AK812" s="77"/>
      <c r="AL812" s="77"/>
      <c r="AM812" s="77"/>
      <c r="AN812" s="77"/>
      <c r="AO812" s="77"/>
      <c r="AP812" s="77"/>
      <c r="AQ812" s="77" t="s">
        <v>4229</v>
      </c>
      <c r="AR812" s="77">
        <v>11033</v>
      </c>
      <c r="AS812" s="77"/>
      <c r="AT812" s="77"/>
      <c r="AU812" s="77"/>
      <c r="AV812" s="80" t="str">
        <f>HYPERLINK("https://pbs.twimg.com/ext_tw_video_thumb/1673828727703085057/pu/img/9fhyL2gfrEHwIyGp.jpg")</f>
        <v>https://pbs.twimg.com/ext_tw_video_thumb/1673828727703085057/pu/img/9fhyL2gfrEHwIyGp.jpg</v>
      </c>
      <c r="AW812" s="82" t="s">
        <v>5145</v>
      </c>
      <c r="AX812" s="82" t="s">
        <v>5145</v>
      </c>
      <c r="AY812" s="77"/>
      <c r="AZ812" s="82" t="s">
        <v>5615</v>
      </c>
      <c r="BA812" s="82" t="s">
        <v>5615</v>
      </c>
      <c r="BB812" s="82" t="s">
        <v>5615</v>
      </c>
      <c r="BC812" s="82" t="s">
        <v>5145</v>
      </c>
      <c r="BD812" s="82" t="s">
        <v>6037</v>
      </c>
      <c r="BE812" s="77"/>
      <c r="BF812" s="77"/>
      <c r="BG812" s="77"/>
      <c r="BH812" s="77"/>
      <c r="BI812" s="77"/>
    </row>
    <row r="813" spans="1:61" x14ac:dyDescent="0.25">
      <c r="A813" s="62" t="s">
        <v>478</v>
      </c>
      <c r="B813" s="62" t="s">
        <v>478</v>
      </c>
      <c r="C813" s="63"/>
      <c r="D813" s="64"/>
      <c r="E813" s="65"/>
      <c r="F813" s="66"/>
      <c r="G813" s="63"/>
      <c r="H813" s="67"/>
      <c r="I813" s="68"/>
      <c r="J813" s="68"/>
      <c r="K813" s="32"/>
      <c r="L813" s="75">
        <v>813</v>
      </c>
      <c r="M813" s="75"/>
      <c r="N813" s="70"/>
      <c r="O813" s="77" t="s">
        <v>179</v>
      </c>
      <c r="P813" s="79">
        <v>45104.87568287037</v>
      </c>
      <c r="Q813" s="77" t="s">
        <v>1362</v>
      </c>
      <c r="R813" s="77">
        <v>0</v>
      </c>
      <c r="S813" s="77">
        <v>0</v>
      </c>
      <c r="T813" s="77">
        <v>0</v>
      </c>
      <c r="U813" s="77">
        <v>0</v>
      </c>
      <c r="V813" s="77">
        <v>2</v>
      </c>
      <c r="W813" s="82" t="s">
        <v>1961</v>
      </c>
      <c r="X813" s="77"/>
      <c r="Y813" s="77"/>
      <c r="Z813" s="77"/>
      <c r="AA813" s="77" t="s">
        <v>2604</v>
      </c>
      <c r="AB813" s="77" t="s">
        <v>2713</v>
      </c>
      <c r="AC813" s="82" t="s">
        <v>2721</v>
      </c>
      <c r="AD813" s="77" t="s">
        <v>2752</v>
      </c>
      <c r="AE813" s="80" t="str">
        <f>HYPERLINK("https://twitter.com/investimentoob1/status/1673798602362167296")</f>
        <v>https://twitter.com/investimentoob1/status/1673798602362167296</v>
      </c>
      <c r="AF813" s="79">
        <v>45104.87568287037</v>
      </c>
      <c r="AG813" s="85">
        <v>45104</v>
      </c>
      <c r="AH813" s="82" t="s">
        <v>3557</v>
      </c>
      <c r="AI813" s="77" t="b">
        <v>0</v>
      </c>
      <c r="AJ813" s="77"/>
      <c r="AK813" s="77"/>
      <c r="AL813" s="77"/>
      <c r="AM813" s="77"/>
      <c r="AN813" s="77"/>
      <c r="AO813" s="77"/>
      <c r="AP813" s="77"/>
      <c r="AQ813" s="77" t="s">
        <v>4230</v>
      </c>
      <c r="AR813" s="77">
        <v>11033</v>
      </c>
      <c r="AS813" s="77"/>
      <c r="AT813" s="77"/>
      <c r="AU813" s="77"/>
      <c r="AV813" s="80" t="str">
        <f>HYPERLINK("https://pbs.twimg.com/ext_tw_video_thumb/1673798579318652928/pu/img/1MBkQHj_opFFIAxu.jpg")</f>
        <v>https://pbs.twimg.com/ext_tw_video_thumb/1673798579318652928/pu/img/1MBkQHj_opFFIAxu.jpg</v>
      </c>
      <c r="AW813" s="82" t="s">
        <v>5146</v>
      </c>
      <c r="AX813" s="82" t="s">
        <v>5146</v>
      </c>
      <c r="AY813" s="77"/>
      <c r="AZ813" s="82" t="s">
        <v>5615</v>
      </c>
      <c r="BA813" s="82" t="s">
        <v>5615</v>
      </c>
      <c r="BB813" s="82" t="s">
        <v>5615</v>
      </c>
      <c r="BC813" s="82" t="s">
        <v>5146</v>
      </c>
      <c r="BD813" s="82" t="s">
        <v>6037</v>
      </c>
      <c r="BE813" s="77"/>
      <c r="BF813" s="77"/>
      <c r="BG813" s="77"/>
      <c r="BH813" s="77"/>
      <c r="BI813" s="77"/>
    </row>
    <row r="814" spans="1:61" x14ac:dyDescent="0.25">
      <c r="A814" s="62" t="s">
        <v>478</v>
      </c>
      <c r="B814" s="62" t="s">
        <v>478</v>
      </c>
      <c r="C814" s="63"/>
      <c r="D814" s="64"/>
      <c r="E814" s="65"/>
      <c r="F814" s="66"/>
      <c r="G814" s="63"/>
      <c r="H814" s="67"/>
      <c r="I814" s="68"/>
      <c r="J814" s="68"/>
      <c r="K814" s="32"/>
      <c r="L814" s="75">
        <v>814</v>
      </c>
      <c r="M814" s="75"/>
      <c r="N814" s="70"/>
      <c r="O814" s="77" t="s">
        <v>179</v>
      </c>
      <c r="P814" s="79">
        <v>45104.792199074072</v>
      </c>
      <c r="Q814" s="77" t="s">
        <v>1363</v>
      </c>
      <c r="R814" s="77">
        <v>0</v>
      </c>
      <c r="S814" s="77">
        <v>0</v>
      </c>
      <c r="T814" s="77">
        <v>0</v>
      </c>
      <c r="U814" s="77">
        <v>0</v>
      </c>
      <c r="V814" s="77">
        <v>20</v>
      </c>
      <c r="W814" s="82" t="s">
        <v>1959</v>
      </c>
      <c r="X814" s="77"/>
      <c r="Y814" s="77"/>
      <c r="Z814" s="77"/>
      <c r="AA814" s="77" t="s">
        <v>2605</v>
      </c>
      <c r="AB814" s="77" t="s">
        <v>2713</v>
      </c>
      <c r="AC814" s="82" t="s">
        <v>2721</v>
      </c>
      <c r="AD814" s="77" t="s">
        <v>2752</v>
      </c>
      <c r="AE814" s="80" t="str">
        <f>HYPERLINK("https://twitter.com/investimentoob1/status/1673768349409353747")</f>
        <v>https://twitter.com/investimentoob1/status/1673768349409353747</v>
      </c>
      <c r="AF814" s="79">
        <v>45104.792199074072</v>
      </c>
      <c r="AG814" s="85">
        <v>45104</v>
      </c>
      <c r="AH814" s="82" t="s">
        <v>3558</v>
      </c>
      <c r="AI814" s="77" t="b">
        <v>0</v>
      </c>
      <c r="AJ814" s="77"/>
      <c r="AK814" s="77"/>
      <c r="AL814" s="77"/>
      <c r="AM814" s="77"/>
      <c r="AN814" s="77"/>
      <c r="AO814" s="77"/>
      <c r="AP814" s="77"/>
      <c r="AQ814" s="77" t="s">
        <v>4231</v>
      </c>
      <c r="AR814" s="77">
        <v>11066</v>
      </c>
      <c r="AS814" s="77"/>
      <c r="AT814" s="77"/>
      <c r="AU814" s="77"/>
      <c r="AV814" s="80" t="str">
        <f>HYPERLINK("https://pbs.twimg.com/ext_tw_video_thumb/1673768325422129157/pu/img/EDkv3299ETykZF6s.jpg")</f>
        <v>https://pbs.twimg.com/ext_tw_video_thumb/1673768325422129157/pu/img/EDkv3299ETykZF6s.jpg</v>
      </c>
      <c r="AW814" s="82" t="s">
        <v>5147</v>
      </c>
      <c r="AX814" s="82" t="s">
        <v>5147</v>
      </c>
      <c r="AY814" s="77"/>
      <c r="AZ814" s="82" t="s">
        <v>5615</v>
      </c>
      <c r="BA814" s="82" t="s">
        <v>5615</v>
      </c>
      <c r="BB814" s="82" t="s">
        <v>5615</v>
      </c>
      <c r="BC814" s="82" t="s">
        <v>5147</v>
      </c>
      <c r="BD814" s="82" t="s">
        <v>6037</v>
      </c>
      <c r="BE814" s="77"/>
      <c r="BF814" s="77"/>
      <c r="BG814" s="77"/>
      <c r="BH814" s="77"/>
      <c r="BI814" s="77"/>
    </row>
    <row r="815" spans="1:61" x14ac:dyDescent="0.25">
      <c r="A815" s="62" t="s">
        <v>478</v>
      </c>
      <c r="B815" s="62" t="s">
        <v>478</v>
      </c>
      <c r="C815" s="63"/>
      <c r="D815" s="64"/>
      <c r="E815" s="65"/>
      <c r="F815" s="66"/>
      <c r="G815" s="63"/>
      <c r="H815" s="67"/>
      <c r="I815" s="68"/>
      <c r="J815" s="68"/>
      <c r="K815" s="32"/>
      <c r="L815" s="75">
        <v>815</v>
      </c>
      <c r="M815" s="75"/>
      <c r="N815" s="70"/>
      <c r="O815" s="77" t="s">
        <v>179</v>
      </c>
      <c r="P815" s="79">
        <v>45104.70884259259</v>
      </c>
      <c r="Q815" s="77" t="s">
        <v>1364</v>
      </c>
      <c r="R815" s="77">
        <v>0</v>
      </c>
      <c r="S815" s="77">
        <v>0</v>
      </c>
      <c r="T815" s="77">
        <v>0</v>
      </c>
      <c r="U815" s="77">
        <v>0</v>
      </c>
      <c r="V815" s="77">
        <v>7</v>
      </c>
      <c r="W815" s="82" t="s">
        <v>1966</v>
      </c>
      <c r="X815" s="77"/>
      <c r="Y815" s="77"/>
      <c r="Z815" s="77"/>
      <c r="AA815" s="77" t="s">
        <v>2606</v>
      </c>
      <c r="AB815" s="77" t="s">
        <v>2713</v>
      </c>
      <c r="AC815" s="82" t="s">
        <v>2721</v>
      </c>
      <c r="AD815" s="77" t="s">
        <v>2752</v>
      </c>
      <c r="AE815" s="80" t="str">
        <f>HYPERLINK("https://twitter.com/investimentoob1/status/1673738141872668687")</f>
        <v>https://twitter.com/investimentoob1/status/1673738141872668687</v>
      </c>
      <c r="AF815" s="79">
        <v>45104.70884259259</v>
      </c>
      <c r="AG815" s="85">
        <v>45104</v>
      </c>
      <c r="AH815" s="82" t="s">
        <v>3559</v>
      </c>
      <c r="AI815" s="77" t="b">
        <v>0</v>
      </c>
      <c r="AJ815" s="77"/>
      <c r="AK815" s="77"/>
      <c r="AL815" s="77"/>
      <c r="AM815" s="77"/>
      <c r="AN815" s="77"/>
      <c r="AO815" s="77"/>
      <c r="AP815" s="77"/>
      <c r="AQ815" s="77" t="s">
        <v>4232</v>
      </c>
      <c r="AR815" s="77">
        <v>11066</v>
      </c>
      <c r="AS815" s="77"/>
      <c r="AT815" s="77"/>
      <c r="AU815" s="77"/>
      <c r="AV815" s="80" t="str">
        <f>HYPERLINK("https://pbs.twimg.com/ext_tw_video_thumb/1673738117499568132/pu/img/15X56XxIjkDmIDwZ.jpg")</f>
        <v>https://pbs.twimg.com/ext_tw_video_thumb/1673738117499568132/pu/img/15X56XxIjkDmIDwZ.jpg</v>
      </c>
      <c r="AW815" s="82" t="s">
        <v>5148</v>
      </c>
      <c r="AX815" s="82" t="s">
        <v>5148</v>
      </c>
      <c r="AY815" s="77"/>
      <c r="AZ815" s="82" t="s">
        <v>5615</v>
      </c>
      <c r="BA815" s="82" t="s">
        <v>5615</v>
      </c>
      <c r="BB815" s="82" t="s">
        <v>5615</v>
      </c>
      <c r="BC815" s="82" t="s">
        <v>5148</v>
      </c>
      <c r="BD815" s="82" t="s">
        <v>6037</v>
      </c>
      <c r="BE815" s="77"/>
      <c r="BF815" s="77"/>
      <c r="BG815" s="77"/>
      <c r="BH815" s="77"/>
      <c r="BI815" s="77"/>
    </row>
    <row r="816" spans="1:61" x14ac:dyDescent="0.25">
      <c r="A816" s="62" t="s">
        <v>479</v>
      </c>
      <c r="B816" s="62" t="s">
        <v>479</v>
      </c>
      <c r="C816" s="63"/>
      <c r="D816" s="64"/>
      <c r="E816" s="65"/>
      <c r="F816" s="66"/>
      <c r="G816" s="63"/>
      <c r="H816" s="67"/>
      <c r="I816" s="68"/>
      <c r="J816" s="68"/>
      <c r="K816" s="32"/>
      <c r="L816" s="75">
        <v>816</v>
      </c>
      <c r="M816" s="75"/>
      <c r="N816" s="70"/>
      <c r="O816" s="77" t="s">
        <v>179</v>
      </c>
      <c r="P816" s="79">
        <v>45076.100960648146</v>
      </c>
      <c r="Q816" s="77" t="s">
        <v>1365</v>
      </c>
      <c r="R816" s="77">
        <v>0</v>
      </c>
      <c r="S816" s="77">
        <v>0</v>
      </c>
      <c r="T816" s="77">
        <v>0</v>
      </c>
      <c r="U816" s="77">
        <v>0</v>
      </c>
      <c r="V816" s="77">
        <v>198</v>
      </c>
      <c r="W816" s="82" t="s">
        <v>1970</v>
      </c>
      <c r="X816" s="77"/>
      <c r="Y816" s="77"/>
      <c r="Z816" s="77"/>
      <c r="AA816" s="77" t="s">
        <v>2607</v>
      </c>
      <c r="AB816" s="77" t="s">
        <v>2714</v>
      </c>
      <c r="AC816" s="82" t="s">
        <v>2722</v>
      </c>
      <c r="AD816" s="77" t="s">
        <v>2752</v>
      </c>
      <c r="AE816" s="80" t="str">
        <f>HYPERLINK("https://twitter.com/bybot_roboo/status/1663370994638004224")</f>
        <v>https://twitter.com/bybot_roboo/status/1663370994638004224</v>
      </c>
      <c r="AF816" s="79">
        <v>45076.100960648146</v>
      </c>
      <c r="AG816" s="85">
        <v>45076</v>
      </c>
      <c r="AH816" s="82" t="s">
        <v>3560</v>
      </c>
      <c r="AI816" s="77" t="b">
        <v>0</v>
      </c>
      <c r="AJ816" s="77"/>
      <c r="AK816" s="77"/>
      <c r="AL816" s="77"/>
      <c r="AM816" s="77"/>
      <c r="AN816" s="77"/>
      <c r="AO816" s="77"/>
      <c r="AP816" s="77"/>
      <c r="AQ816" s="77" t="s">
        <v>4233</v>
      </c>
      <c r="AR816" s="77"/>
      <c r="AS816" s="77"/>
      <c r="AT816" s="77"/>
      <c r="AU816" s="77"/>
      <c r="AV816" s="80" t="str">
        <f>HYPERLINK("https://pbs.twimg.com/media/FxV65PzWwAIihm5.jpg")</f>
        <v>https://pbs.twimg.com/media/FxV65PzWwAIihm5.jpg</v>
      </c>
      <c r="AW816" s="82" t="s">
        <v>5149</v>
      </c>
      <c r="AX816" s="82" t="s">
        <v>5149</v>
      </c>
      <c r="AY816" s="77"/>
      <c r="AZ816" s="82" t="s">
        <v>5615</v>
      </c>
      <c r="BA816" s="82" t="s">
        <v>5615</v>
      </c>
      <c r="BB816" s="82" t="s">
        <v>5615</v>
      </c>
      <c r="BC816" s="82" t="s">
        <v>5149</v>
      </c>
      <c r="BD816" s="82" t="s">
        <v>6038</v>
      </c>
      <c r="BE816" s="77"/>
      <c r="BF816" s="77"/>
      <c r="BG816" s="77"/>
      <c r="BH816" s="77"/>
      <c r="BI816" s="77"/>
    </row>
    <row r="817" spans="1:61" x14ac:dyDescent="0.25">
      <c r="A817" s="62" t="s">
        <v>480</v>
      </c>
      <c r="B817" s="62" t="s">
        <v>480</v>
      </c>
      <c r="C817" s="63"/>
      <c r="D817" s="64"/>
      <c r="E817" s="65"/>
      <c r="F817" s="66"/>
      <c r="G817" s="63"/>
      <c r="H817" s="67"/>
      <c r="I817" s="68"/>
      <c r="J817" s="68"/>
      <c r="K817" s="32"/>
      <c r="L817" s="75">
        <v>817</v>
      </c>
      <c r="M817" s="75"/>
      <c r="N817" s="70"/>
      <c r="O817" s="77" t="s">
        <v>179</v>
      </c>
      <c r="P817" s="79">
        <v>45127.665497685186</v>
      </c>
      <c r="Q817" s="77" t="s">
        <v>1366</v>
      </c>
      <c r="R817" s="77">
        <v>0</v>
      </c>
      <c r="S817" s="77">
        <v>3</v>
      </c>
      <c r="T817" s="77">
        <v>2</v>
      </c>
      <c r="U817" s="77">
        <v>0</v>
      </c>
      <c r="V817" s="77">
        <v>245</v>
      </c>
      <c r="W817" s="82" t="s">
        <v>1971</v>
      </c>
      <c r="X817" s="77"/>
      <c r="Y817" s="77"/>
      <c r="Z817" s="77"/>
      <c r="AA817" s="77" t="s">
        <v>2608</v>
      </c>
      <c r="AB817" s="77" t="s">
        <v>2714</v>
      </c>
      <c r="AC817" s="82" t="s">
        <v>2722</v>
      </c>
      <c r="AD817" s="77" t="s">
        <v>2752</v>
      </c>
      <c r="AE817" s="80" t="str">
        <f>HYPERLINK("https://twitter.com/juninhobraguim/status/1682057356006367233")</f>
        <v>https://twitter.com/juninhobraguim/status/1682057356006367233</v>
      </c>
      <c r="AF817" s="79">
        <v>45127.665497685186</v>
      </c>
      <c r="AG817" s="85">
        <v>45127</v>
      </c>
      <c r="AH817" s="82" t="s">
        <v>3561</v>
      </c>
      <c r="AI817" s="77" t="b">
        <v>0</v>
      </c>
      <c r="AJ817" s="77"/>
      <c r="AK817" s="77"/>
      <c r="AL817" s="77"/>
      <c r="AM817" s="77"/>
      <c r="AN817" s="77"/>
      <c r="AO817" s="77"/>
      <c r="AP817" s="77"/>
      <c r="AQ817" s="77" t="s">
        <v>4234</v>
      </c>
      <c r="AR817" s="77"/>
      <c r="AS817" s="77"/>
      <c r="AT817" s="77"/>
      <c r="AU817" s="77"/>
      <c r="AV817" s="80" t="str">
        <f>HYPERLINK("https://pbs.twimg.com/media/F1feAv1XwAIRBG7.png")</f>
        <v>https://pbs.twimg.com/media/F1feAv1XwAIRBG7.png</v>
      </c>
      <c r="AW817" s="82" t="s">
        <v>5150</v>
      </c>
      <c r="AX817" s="82" t="s">
        <v>5150</v>
      </c>
      <c r="AY817" s="77"/>
      <c r="AZ817" s="82" t="s">
        <v>5615</v>
      </c>
      <c r="BA817" s="82" t="s">
        <v>5615</v>
      </c>
      <c r="BB817" s="82" t="s">
        <v>5615</v>
      </c>
      <c r="BC817" s="82" t="s">
        <v>5150</v>
      </c>
      <c r="BD817" s="77">
        <v>142468587</v>
      </c>
      <c r="BE817" s="77"/>
      <c r="BF817" s="77"/>
      <c r="BG817" s="77"/>
      <c r="BH817" s="77"/>
      <c r="BI817" s="77"/>
    </row>
    <row r="818" spans="1:61" x14ac:dyDescent="0.25">
      <c r="A818" s="62" t="s">
        <v>481</v>
      </c>
      <c r="B818" s="62" t="s">
        <v>481</v>
      </c>
      <c r="C818" s="63"/>
      <c r="D818" s="64"/>
      <c r="E818" s="65"/>
      <c r="F818" s="66"/>
      <c r="G818" s="63"/>
      <c r="H818" s="67"/>
      <c r="I818" s="68"/>
      <c r="J818" s="68"/>
      <c r="K818" s="32"/>
      <c r="L818" s="75">
        <v>818</v>
      </c>
      <c r="M818" s="75"/>
      <c r="N818" s="70"/>
      <c r="O818" s="77" t="s">
        <v>179</v>
      </c>
      <c r="P818" s="79">
        <v>45118.451458333337</v>
      </c>
      <c r="Q818" s="77" t="s">
        <v>1367</v>
      </c>
      <c r="R818" s="77">
        <v>0</v>
      </c>
      <c r="S818" s="77">
        <v>0</v>
      </c>
      <c r="T818" s="77">
        <v>0</v>
      </c>
      <c r="U818" s="77">
        <v>1</v>
      </c>
      <c r="V818" s="77">
        <v>31</v>
      </c>
      <c r="W818" s="82" t="s">
        <v>1972</v>
      </c>
      <c r="X818" s="77"/>
      <c r="Y818" s="77"/>
      <c r="Z818" s="77"/>
      <c r="AA818" s="77" t="s">
        <v>2609</v>
      </c>
      <c r="AB818" s="77" t="s">
        <v>2714</v>
      </c>
      <c r="AC818" s="82" t="s">
        <v>2720</v>
      </c>
      <c r="AD818" s="77" t="s">
        <v>2753</v>
      </c>
      <c r="AE818" s="80" t="str">
        <f>HYPERLINK("https://twitter.com/diegoskda/status/1678718301197803523")</f>
        <v>https://twitter.com/diegoskda/status/1678718301197803523</v>
      </c>
      <c r="AF818" s="79">
        <v>45118.451458333337</v>
      </c>
      <c r="AG818" s="85">
        <v>45118</v>
      </c>
      <c r="AH818" s="82" t="s">
        <v>3562</v>
      </c>
      <c r="AI818" s="77" t="b">
        <v>0</v>
      </c>
      <c r="AJ818" s="77"/>
      <c r="AK818" s="77"/>
      <c r="AL818" s="77"/>
      <c r="AM818" s="77"/>
      <c r="AN818" s="77"/>
      <c r="AO818" s="77"/>
      <c r="AP818" s="77"/>
      <c r="AQ818" s="77" t="s">
        <v>4235</v>
      </c>
      <c r="AR818" s="77"/>
      <c r="AS818" s="77"/>
      <c r="AT818" s="77"/>
      <c r="AU818" s="77"/>
      <c r="AV818" s="80" t="str">
        <f>HYPERLINK("https://pbs.twimg.com/media/F0wBZXeWYAEc1QC.jpg")</f>
        <v>https://pbs.twimg.com/media/F0wBZXeWYAEc1QC.jpg</v>
      </c>
      <c r="AW818" s="82" t="s">
        <v>5151</v>
      </c>
      <c r="AX818" s="82" t="s">
        <v>5151</v>
      </c>
      <c r="AY818" s="77"/>
      <c r="AZ818" s="82" t="s">
        <v>5615</v>
      </c>
      <c r="BA818" s="82" t="s">
        <v>5615</v>
      </c>
      <c r="BB818" s="82" t="s">
        <v>5615</v>
      </c>
      <c r="BC818" s="82" t="s">
        <v>5151</v>
      </c>
      <c r="BD818" s="82" t="s">
        <v>6039</v>
      </c>
      <c r="BE818" s="77"/>
      <c r="BF818" s="77"/>
      <c r="BG818" s="77"/>
      <c r="BH818" s="77"/>
      <c r="BI818" s="77"/>
    </row>
    <row r="819" spans="1:61" x14ac:dyDescent="0.25">
      <c r="A819" s="62" t="s">
        <v>482</v>
      </c>
      <c r="B819" s="62" t="s">
        <v>482</v>
      </c>
      <c r="C819" s="63"/>
      <c r="D819" s="64"/>
      <c r="E819" s="65"/>
      <c r="F819" s="66"/>
      <c r="G819" s="63"/>
      <c r="H819" s="67"/>
      <c r="I819" s="68"/>
      <c r="J819" s="68"/>
      <c r="K819" s="32"/>
      <c r="L819" s="75">
        <v>819</v>
      </c>
      <c r="M819" s="75"/>
      <c r="N819" s="70"/>
      <c r="O819" s="77" t="s">
        <v>179</v>
      </c>
      <c r="P819" s="79">
        <v>45028.088599537034</v>
      </c>
      <c r="Q819" s="77" t="s">
        <v>1368</v>
      </c>
      <c r="R819" s="77">
        <v>0</v>
      </c>
      <c r="S819" s="77">
        <v>0</v>
      </c>
      <c r="T819" s="77">
        <v>0</v>
      </c>
      <c r="U819" s="77">
        <v>0</v>
      </c>
      <c r="V819" s="77">
        <v>6</v>
      </c>
      <c r="W819" s="82" t="s">
        <v>1973</v>
      </c>
      <c r="X819" s="80" t="str">
        <f>HYPERLINK("https://beyourboss.com.br/?campanha_chave=AASAR&amp;trackerId=a486512699c9873a74d4125d33081cdf&amp;a=11238049")</f>
        <v>https://beyourboss.com.br/?campanha_chave=AASAR&amp;trackerId=a486512699c9873a74d4125d33081cdf&amp;a=11238049</v>
      </c>
      <c r="Y819" s="77" t="s">
        <v>2129</v>
      </c>
      <c r="Z819" s="77"/>
      <c r="AA819" s="77" t="s">
        <v>2610</v>
      </c>
      <c r="AB819" s="77" t="s">
        <v>2714</v>
      </c>
      <c r="AC819" s="82" t="s">
        <v>2719</v>
      </c>
      <c r="AD819" s="77" t="s">
        <v>2752</v>
      </c>
      <c r="AE819" s="80" t="str">
        <f>HYPERLINK("https://twitter.com/flavmartiins/status/1645971898134675456")</f>
        <v>https://twitter.com/flavmartiins/status/1645971898134675456</v>
      </c>
      <c r="AF819" s="79">
        <v>45028.088599537034</v>
      </c>
      <c r="AG819" s="85">
        <v>45028</v>
      </c>
      <c r="AH819" s="82" t="s">
        <v>3563</v>
      </c>
      <c r="AI819" s="77" t="b">
        <v>0</v>
      </c>
      <c r="AJ819" s="77"/>
      <c r="AK819" s="77"/>
      <c r="AL819" s="77"/>
      <c r="AM819" s="77"/>
      <c r="AN819" s="77"/>
      <c r="AO819" s="77"/>
      <c r="AP819" s="77"/>
      <c r="AQ819" s="77" t="s">
        <v>4236</v>
      </c>
      <c r="AR819" s="77"/>
      <c r="AS819" s="77"/>
      <c r="AT819" s="77"/>
      <c r="AU819" s="77"/>
      <c r="AV819" s="80" t="str">
        <f>HYPERLINK("https://pbs.twimg.com/media/FtequA8XoAE-L7V.jpg")</f>
        <v>https://pbs.twimg.com/media/FtequA8XoAE-L7V.jpg</v>
      </c>
      <c r="AW819" s="82" t="s">
        <v>5152</v>
      </c>
      <c r="AX819" s="82" t="s">
        <v>5152</v>
      </c>
      <c r="AY819" s="77"/>
      <c r="AZ819" s="82" t="s">
        <v>5615</v>
      </c>
      <c r="BA819" s="82" t="s">
        <v>5615</v>
      </c>
      <c r="BB819" s="82" t="s">
        <v>5615</v>
      </c>
      <c r="BC819" s="82" t="s">
        <v>5152</v>
      </c>
      <c r="BD819" s="82" t="s">
        <v>6040</v>
      </c>
      <c r="BE819" s="77"/>
      <c r="BF819" s="77"/>
      <c r="BG819" s="77"/>
      <c r="BH819" s="77"/>
      <c r="BI819" s="77"/>
    </row>
    <row r="820" spans="1:61" x14ac:dyDescent="0.25">
      <c r="A820" s="62" t="s">
        <v>483</v>
      </c>
      <c r="B820" s="62" t="s">
        <v>483</v>
      </c>
      <c r="C820" s="63"/>
      <c r="D820" s="64"/>
      <c r="E820" s="65"/>
      <c r="F820" s="66"/>
      <c r="G820" s="63"/>
      <c r="H820" s="67"/>
      <c r="I820" s="68"/>
      <c r="J820" s="68"/>
      <c r="K820" s="32"/>
      <c r="L820" s="75">
        <v>820</v>
      </c>
      <c r="M820" s="75"/>
      <c r="N820" s="70"/>
      <c r="O820" s="77" t="s">
        <v>179</v>
      </c>
      <c r="P820" s="79">
        <v>44980.915451388886</v>
      </c>
      <c r="Q820" s="77" t="s">
        <v>1369</v>
      </c>
      <c r="R820" s="77">
        <v>0</v>
      </c>
      <c r="S820" s="77">
        <v>1</v>
      </c>
      <c r="T820" s="77">
        <v>0</v>
      </c>
      <c r="U820" s="77">
        <v>0</v>
      </c>
      <c r="V820" s="77">
        <v>47</v>
      </c>
      <c r="W820" s="82" t="s">
        <v>1974</v>
      </c>
      <c r="X820" s="77"/>
      <c r="Y820" s="77"/>
      <c r="Z820" s="77"/>
      <c r="AA820" s="77"/>
      <c r="AB820" s="77"/>
      <c r="AC820" s="82" t="s">
        <v>2719</v>
      </c>
      <c r="AD820" s="77" t="s">
        <v>2752</v>
      </c>
      <c r="AE820" s="80" t="str">
        <f>HYPERLINK("https://twitter.com/cleucianesousa/status/1628876919063171074")</f>
        <v>https://twitter.com/cleucianesousa/status/1628876919063171074</v>
      </c>
      <c r="AF820" s="79">
        <v>44980.915451388886</v>
      </c>
      <c r="AG820" s="85">
        <v>44980</v>
      </c>
      <c r="AH820" s="82" t="s">
        <v>3564</v>
      </c>
      <c r="AI820" s="77"/>
      <c r="AJ820" s="77"/>
      <c r="AK820" s="77"/>
      <c r="AL820" s="77"/>
      <c r="AM820" s="77"/>
      <c r="AN820" s="77"/>
      <c r="AO820" s="77"/>
      <c r="AP820" s="77"/>
      <c r="AQ820" s="77"/>
      <c r="AR820" s="77"/>
      <c r="AS820" s="77"/>
      <c r="AT820" s="77"/>
      <c r="AU820" s="77"/>
      <c r="AV820" s="80" t="str">
        <f>HYPERLINK("https://pbs.twimg.com/profile_images/736060104642945024/QIHnDpWL_normal.jpg")</f>
        <v>https://pbs.twimg.com/profile_images/736060104642945024/QIHnDpWL_normal.jpg</v>
      </c>
      <c r="AW820" s="82" t="s">
        <v>5153</v>
      </c>
      <c r="AX820" s="82" t="s">
        <v>5153</v>
      </c>
      <c r="AY820" s="77"/>
      <c r="AZ820" s="82" t="s">
        <v>5615</v>
      </c>
      <c r="BA820" s="82" t="s">
        <v>5615</v>
      </c>
      <c r="BB820" s="82" t="s">
        <v>5615</v>
      </c>
      <c r="BC820" s="82" t="s">
        <v>5153</v>
      </c>
      <c r="BD820" s="77">
        <v>355209370</v>
      </c>
      <c r="BE820" s="77"/>
      <c r="BF820" s="77"/>
      <c r="BG820" s="77"/>
      <c r="BH820" s="77"/>
      <c r="BI820" s="77"/>
    </row>
    <row r="821" spans="1:61" x14ac:dyDescent="0.25">
      <c r="A821" s="62" t="s">
        <v>483</v>
      </c>
      <c r="B821" s="62" t="s">
        <v>483</v>
      </c>
      <c r="C821" s="63"/>
      <c r="D821" s="64"/>
      <c r="E821" s="65"/>
      <c r="F821" s="66"/>
      <c r="G821" s="63"/>
      <c r="H821" s="67"/>
      <c r="I821" s="68"/>
      <c r="J821" s="68"/>
      <c r="K821" s="32"/>
      <c r="L821" s="75">
        <v>821</v>
      </c>
      <c r="M821" s="75"/>
      <c r="N821" s="70"/>
      <c r="O821" s="77" t="s">
        <v>179</v>
      </c>
      <c r="P821" s="79">
        <v>44970.431539351855</v>
      </c>
      <c r="Q821" s="77" t="s">
        <v>1370</v>
      </c>
      <c r="R821" s="77">
        <v>0</v>
      </c>
      <c r="S821" s="77">
        <v>0</v>
      </c>
      <c r="T821" s="77">
        <v>0</v>
      </c>
      <c r="U821" s="77">
        <v>0</v>
      </c>
      <c r="V821" s="77">
        <v>44</v>
      </c>
      <c r="W821" s="82" t="s">
        <v>1975</v>
      </c>
      <c r="X821" s="77"/>
      <c r="Y821" s="77"/>
      <c r="Z821" s="77"/>
      <c r="AA821" s="77"/>
      <c r="AB821" s="77"/>
      <c r="AC821" s="82" t="s">
        <v>2719</v>
      </c>
      <c r="AD821" s="77" t="s">
        <v>2752</v>
      </c>
      <c r="AE821" s="80" t="str">
        <f>HYPERLINK("https://twitter.com/cleucianesousa/status/1625077679669100544")</f>
        <v>https://twitter.com/cleucianesousa/status/1625077679669100544</v>
      </c>
      <c r="AF821" s="79">
        <v>44970.431539351855</v>
      </c>
      <c r="AG821" s="85">
        <v>44970</v>
      </c>
      <c r="AH821" s="82" t="s">
        <v>3565</v>
      </c>
      <c r="AI821" s="77"/>
      <c r="AJ821" s="77"/>
      <c r="AK821" s="77"/>
      <c r="AL821" s="77"/>
      <c r="AM821" s="77"/>
      <c r="AN821" s="77"/>
      <c r="AO821" s="77"/>
      <c r="AP821" s="77"/>
      <c r="AQ821" s="77"/>
      <c r="AR821" s="77"/>
      <c r="AS821" s="77"/>
      <c r="AT821" s="77"/>
      <c r="AU821" s="77"/>
      <c r="AV821" s="80" t="str">
        <f>HYPERLINK("https://pbs.twimg.com/profile_images/736060104642945024/QIHnDpWL_normal.jpg")</f>
        <v>https://pbs.twimg.com/profile_images/736060104642945024/QIHnDpWL_normal.jpg</v>
      </c>
      <c r="AW821" s="82" t="s">
        <v>5154</v>
      </c>
      <c r="AX821" s="82" t="s">
        <v>5154</v>
      </c>
      <c r="AY821" s="77"/>
      <c r="AZ821" s="82" t="s">
        <v>5615</v>
      </c>
      <c r="BA821" s="82" t="s">
        <v>5615</v>
      </c>
      <c r="BB821" s="82" t="s">
        <v>5615</v>
      </c>
      <c r="BC821" s="82" t="s">
        <v>5154</v>
      </c>
      <c r="BD821" s="77">
        <v>355209370</v>
      </c>
      <c r="BE821" s="77"/>
      <c r="BF821" s="77"/>
      <c r="BG821" s="77"/>
      <c r="BH821" s="77"/>
      <c r="BI821" s="77"/>
    </row>
    <row r="822" spans="1:61" x14ac:dyDescent="0.25">
      <c r="A822" s="62" t="s">
        <v>483</v>
      </c>
      <c r="B822" s="62" t="s">
        <v>483</v>
      </c>
      <c r="C822" s="63"/>
      <c r="D822" s="64"/>
      <c r="E822" s="65"/>
      <c r="F822" s="66"/>
      <c r="G822" s="63"/>
      <c r="H822" s="67"/>
      <c r="I822" s="68"/>
      <c r="J822" s="68"/>
      <c r="K822" s="32"/>
      <c r="L822" s="75">
        <v>822</v>
      </c>
      <c r="M822" s="75"/>
      <c r="N822" s="70"/>
      <c r="O822" s="77" t="s">
        <v>583</v>
      </c>
      <c r="P822" s="79">
        <v>44968.784641203703</v>
      </c>
      <c r="Q822" s="77" t="s">
        <v>1371</v>
      </c>
      <c r="R822" s="77">
        <v>0</v>
      </c>
      <c r="S822" s="77">
        <v>3</v>
      </c>
      <c r="T822" s="77">
        <v>0</v>
      </c>
      <c r="U822" s="77">
        <v>0</v>
      </c>
      <c r="V822" s="77">
        <v>102</v>
      </c>
      <c r="W822" s="82" t="s">
        <v>1976</v>
      </c>
      <c r="X822" s="77"/>
      <c r="Y822" s="77"/>
      <c r="Z822" s="77"/>
      <c r="AA822" s="77"/>
      <c r="AB822" s="77"/>
      <c r="AC822" s="82" t="s">
        <v>2719</v>
      </c>
      <c r="AD822" s="77" t="s">
        <v>2752</v>
      </c>
      <c r="AE822" s="80" t="str">
        <f>HYPERLINK("https://twitter.com/cleucianesousa/status/1624480861893672960")</f>
        <v>https://twitter.com/cleucianesousa/status/1624480861893672960</v>
      </c>
      <c r="AF822" s="79">
        <v>44968.784641203703</v>
      </c>
      <c r="AG822" s="85">
        <v>44968</v>
      </c>
      <c r="AH822" s="82" t="s">
        <v>3566</v>
      </c>
      <c r="AI822" s="77"/>
      <c r="AJ822" s="77"/>
      <c r="AK822" s="77"/>
      <c r="AL822" s="77"/>
      <c r="AM822" s="77"/>
      <c r="AN822" s="77"/>
      <c r="AO822" s="77"/>
      <c r="AP822" s="77"/>
      <c r="AQ822" s="77"/>
      <c r="AR822" s="77"/>
      <c r="AS822" s="77"/>
      <c r="AT822" s="77"/>
      <c r="AU822" s="77"/>
      <c r="AV822" s="80" t="str">
        <f>HYPERLINK("https://pbs.twimg.com/profile_images/736060104642945024/QIHnDpWL_normal.jpg")</f>
        <v>https://pbs.twimg.com/profile_images/736060104642945024/QIHnDpWL_normal.jpg</v>
      </c>
      <c r="AW822" s="82" t="s">
        <v>5155</v>
      </c>
      <c r="AX822" s="82" t="s">
        <v>5548</v>
      </c>
      <c r="AY822" s="82" t="s">
        <v>5606</v>
      </c>
      <c r="AZ822" s="82" t="s">
        <v>5548</v>
      </c>
      <c r="BA822" s="82" t="s">
        <v>5615</v>
      </c>
      <c r="BB822" s="82" t="s">
        <v>5615</v>
      </c>
      <c r="BC822" s="82" t="s">
        <v>5548</v>
      </c>
      <c r="BD822" s="77">
        <v>355209370</v>
      </c>
      <c r="BE822" s="77"/>
      <c r="BF822" s="77"/>
      <c r="BG822" s="77"/>
      <c r="BH822" s="77"/>
      <c r="BI822" s="77"/>
    </row>
    <row r="823" spans="1:61" x14ac:dyDescent="0.25">
      <c r="A823" s="62" t="s">
        <v>484</v>
      </c>
      <c r="B823" s="62" t="s">
        <v>484</v>
      </c>
      <c r="C823" s="63"/>
      <c r="D823" s="64"/>
      <c r="E823" s="65"/>
      <c r="F823" s="66"/>
      <c r="G823" s="63"/>
      <c r="H823" s="67"/>
      <c r="I823" s="68"/>
      <c r="J823" s="68"/>
      <c r="K823" s="32"/>
      <c r="L823" s="75">
        <v>823</v>
      </c>
      <c r="M823" s="75"/>
      <c r="N823" s="70"/>
      <c r="O823" s="77" t="s">
        <v>179</v>
      </c>
      <c r="P823" s="79">
        <v>44967.644756944443</v>
      </c>
      <c r="Q823" s="77" t="s">
        <v>1372</v>
      </c>
      <c r="R823" s="77">
        <v>0</v>
      </c>
      <c r="S823" s="77">
        <v>1</v>
      </c>
      <c r="T823" s="77">
        <v>0</v>
      </c>
      <c r="U823" s="77">
        <v>0</v>
      </c>
      <c r="V823" s="77">
        <v>69</v>
      </c>
      <c r="W823" s="82" t="s">
        <v>1977</v>
      </c>
      <c r="X823" s="80" t="str">
        <f>HYPERLINK("http://www.guardardinheiro.com.br")</f>
        <v>http://www.guardardinheiro.com.br</v>
      </c>
      <c r="Y823" s="77" t="s">
        <v>2129</v>
      </c>
      <c r="Z823" s="77"/>
      <c r="AA823" s="77" t="s">
        <v>2611</v>
      </c>
      <c r="AB823" s="77" t="s">
        <v>2714</v>
      </c>
      <c r="AC823" s="82" t="s">
        <v>2719</v>
      </c>
      <c r="AD823" s="77" t="s">
        <v>2752</v>
      </c>
      <c r="AE823" s="80" t="str">
        <f>HYPERLINK("https://twitter.com/guardardinheir1/status/1624067779925008384")</f>
        <v>https://twitter.com/guardardinheir1/status/1624067779925008384</v>
      </c>
      <c r="AF823" s="79">
        <v>44967.644756944443</v>
      </c>
      <c r="AG823" s="85">
        <v>44967</v>
      </c>
      <c r="AH823" s="82" t="s">
        <v>3567</v>
      </c>
      <c r="AI823" s="77" t="b">
        <v>0</v>
      </c>
      <c r="AJ823" s="77"/>
      <c r="AK823" s="77"/>
      <c r="AL823" s="77"/>
      <c r="AM823" s="77"/>
      <c r="AN823" s="77"/>
      <c r="AO823" s="77"/>
      <c r="AP823" s="77"/>
      <c r="AQ823" s="77" t="s">
        <v>4237</v>
      </c>
      <c r="AR823" s="77"/>
      <c r="AS823" s="77"/>
      <c r="AT823" s="77"/>
      <c r="AU823" s="77"/>
      <c r="AV823" s="80" t="str">
        <f>HYPERLINK("https://pbs.twimg.com/media/FonZCiLXEAAHbdx.jpg")</f>
        <v>https://pbs.twimg.com/media/FonZCiLXEAAHbdx.jpg</v>
      </c>
      <c r="AW823" s="82" t="s">
        <v>5156</v>
      </c>
      <c r="AX823" s="82" t="s">
        <v>5156</v>
      </c>
      <c r="AY823" s="77"/>
      <c r="AZ823" s="82" t="s">
        <v>5615</v>
      </c>
      <c r="BA823" s="82" t="s">
        <v>5615</v>
      </c>
      <c r="BB823" s="82" t="s">
        <v>5615</v>
      </c>
      <c r="BC823" s="82" t="s">
        <v>5156</v>
      </c>
      <c r="BD823" s="82" t="s">
        <v>6041</v>
      </c>
      <c r="BE823" s="77"/>
      <c r="BF823" s="77"/>
      <c r="BG823" s="77"/>
      <c r="BH823" s="77"/>
      <c r="BI823" s="77"/>
    </row>
    <row r="824" spans="1:61" x14ac:dyDescent="0.25">
      <c r="A824" s="62" t="s">
        <v>485</v>
      </c>
      <c r="B824" s="62" t="s">
        <v>485</v>
      </c>
      <c r="C824" s="63"/>
      <c r="D824" s="64"/>
      <c r="E824" s="65"/>
      <c r="F824" s="66"/>
      <c r="G824" s="63"/>
      <c r="H824" s="67"/>
      <c r="I824" s="68"/>
      <c r="J824" s="68"/>
      <c r="K824" s="32"/>
      <c r="L824" s="75">
        <v>824</v>
      </c>
      <c r="M824" s="75"/>
      <c r="N824" s="70"/>
      <c r="O824" s="77" t="s">
        <v>179</v>
      </c>
      <c r="P824" s="79">
        <v>45076.037731481483</v>
      </c>
      <c r="Q824" s="77" t="s">
        <v>1373</v>
      </c>
      <c r="R824" s="77">
        <v>0</v>
      </c>
      <c r="S824" s="77">
        <v>0</v>
      </c>
      <c r="T824" s="77">
        <v>0</v>
      </c>
      <c r="U824" s="77">
        <v>0</v>
      </c>
      <c r="V824" s="77">
        <v>12</v>
      </c>
      <c r="W824" s="82" t="s">
        <v>1978</v>
      </c>
      <c r="X824" s="77"/>
      <c r="Y824" s="77"/>
      <c r="Z824" s="77"/>
      <c r="AA824" s="77"/>
      <c r="AB824" s="77"/>
      <c r="AC824" s="82" t="s">
        <v>2722</v>
      </c>
      <c r="AD824" s="77" t="s">
        <v>2752</v>
      </c>
      <c r="AE824" s="80" t="str">
        <f>HYPERLINK("https://twitter.com/lucianfreirepro/status/1663348078873542657")</f>
        <v>https://twitter.com/lucianfreirepro/status/1663348078873542657</v>
      </c>
      <c r="AF824" s="79">
        <v>45076.037731481483</v>
      </c>
      <c r="AG824" s="85">
        <v>45076</v>
      </c>
      <c r="AH824" s="82" t="s">
        <v>2948</v>
      </c>
      <c r="AI824" s="77"/>
      <c r="AJ824" s="77"/>
      <c r="AK824" s="77"/>
      <c r="AL824" s="77"/>
      <c r="AM824" s="77"/>
      <c r="AN824" s="77"/>
      <c r="AO824" s="77"/>
      <c r="AP824" s="77"/>
      <c r="AQ824" s="77"/>
      <c r="AR824" s="77"/>
      <c r="AS824" s="77"/>
      <c r="AT824" s="77"/>
      <c r="AU824" s="77"/>
      <c r="AV824" s="80" t="str">
        <f>HYPERLINK("https://pbs.twimg.com/profile_images/1663342474830442499/NF45LUlM_normal.jpg")</f>
        <v>https://pbs.twimg.com/profile_images/1663342474830442499/NF45LUlM_normal.jpg</v>
      </c>
      <c r="AW824" s="82" t="s">
        <v>5157</v>
      </c>
      <c r="AX824" s="82" t="s">
        <v>5157</v>
      </c>
      <c r="AY824" s="77"/>
      <c r="AZ824" s="82" t="s">
        <v>5615</v>
      </c>
      <c r="BA824" s="82" t="s">
        <v>5615</v>
      </c>
      <c r="BB824" s="82" t="s">
        <v>5615</v>
      </c>
      <c r="BC824" s="82" t="s">
        <v>5157</v>
      </c>
      <c r="BD824" s="82" t="s">
        <v>6042</v>
      </c>
      <c r="BE824" s="77"/>
      <c r="BF824" s="77"/>
      <c r="BG824" s="77"/>
      <c r="BH824" s="77"/>
      <c r="BI824" s="77"/>
    </row>
    <row r="825" spans="1:61" x14ac:dyDescent="0.25">
      <c r="A825" s="62" t="s">
        <v>486</v>
      </c>
      <c r="B825" s="62" t="s">
        <v>520</v>
      </c>
      <c r="C825" s="63"/>
      <c r="D825" s="64"/>
      <c r="E825" s="65"/>
      <c r="F825" s="66"/>
      <c r="G825" s="63"/>
      <c r="H825" s="67"/>
      <c r="I825" s="68"/>
      <c r="J825" s="68"/>
      <c r="K825" s="32"/>
      <c r="L825" s="75">
        <v>825</v>
      </c>
      <c r="M825" s="75"/>
      <c r="N825" s="70"/>
      <c r="O825" s="77" t="s">
        <v>585</v>
      </c>
      <c r="P825" s="79">
        <v>45191.006701388891</v>
      </c>
      <c r="Q825" s="77" t="s">
        <v>1374</v>
      </c>
      <c r="R825" s="77">
        <v>0</v>
      </c>
      <c r="S825" s="77">
        <v>0</v>
      </c>
      <c r="T825" s="77">
        <v>0</v>
      </c>
      <c r="U825" s="77">
        <v>0</v>
      </c>
      <c r="V825" s="77">
        <v>2</v>
      </c>
      <c r="W825" s="82" t="s">
        <v>1979</v>
      </c>
      <c r="X825" s="77"/>
      <c r="Y825" s="77"/>
      <c r="Z825" s="77"/>
      <c r="AA825" s="77"/>
      <c r="AB825" s="77"/>
      <c r="AC825" s="82" t="s">
        <v>2722</v>
      </c>
      <c r="AD825" s="77" t="s">
        <v>2752</v>
      </c>
      <c r="AE825" s="80" t="str">
        <f>HYPERLINK("https://twitter.com/tamoneyoficial/status/1705011441063838078")</f>
        <v>https://twitter.com/tamoneyoficial/status/1705011441063838078</v>
      </c>
      <c r="AF825" s="79">
        <v>45191.006701388891</v>
      </c>
      <c r="AG825" s="85">
        <v>45191</v>
      </c>
      <c r="AH825" s="82" t="s">
        <v>3568</v>
      </c>
      <c r="AI825" s="77"/>
      <c r="AJ825" s="77"/>
      <c r="AK825" s="77"/>
      <c r="AL825" s="77"/>
      <c r="AM825" s="77"/>
      <c r="AN825" s="77"/>
      <c r="AO825" s="77"/>
      <c r="AP825" s="77"/>
      <c r="AQ825" s="77"/>
      <c r="AR825" s="77"/>
      <c r="AS825" s="77"/>
      <c r="AT825" s="77"/>
      <c r="AU825" s="77"/>
      <c r="AV825" s="80" t="str">
        <f>HYPERLINK("https://pbs.twimg.com/profile_images/1637825288649187329/nC12ozfd_normal.png")</f>
        <v>https://pbs.twimg.com/profile_images/1637825288649187329/nC12ozfd_normal.png</v>
      </c>
      <c r="AW825" s="82" t="s">
        <v>5158</v>
      </c>
      <c r="AX825" s="82" t="s">
        <v>5158</v>
      </c>
      <c r="AY825" s="77"/>
      <c r="AZ825" s="82" t="s">
        <v>5615</v>
      </c>
      <c r="BA825" s="82" t="s">
        <v>5215</v>
      </c>
      <c r="BB825" s="82" t="s">
        <v>5615</v>
      </c>
      <c r="BC825" s="82" t="s">
        <v>5215</v>
      </c>
      <c r="BD825" s="82" t="s">
        <v>6043</v>
      </c>
      <c r="BE825" s="77"/>
      <c r="BF825" s="77"/>
      <c r="BG825" s="77"/>
      <c r="BH825" s="77"/>
      <c r="BI825" s="77"/>
    </row>
    <row r="826" spans="1:61" x14ac:dyDescent="0.25">
      <c r="A826" s="62" t="s">
        <v>487</v>
      </c>
      <c r="B826" s="62" t="s">
        <v>487</v>
      </c>
      <c r="C826" s="63"/>
      <c r="D826" s="64"/>
      <c r="E826" s="65"/>
      <c r="F826" s="66"/>
      <c r="G826" s="63"/>
      <c r="H826" s="67"/>
      <c r="I826" s="68"/>
      <c r="J826" s="68"/>
      <c r="K826" s="32"/>
      <c r="L826" s="75">
        <v>826</v>
      </c>
      <c r="M826" s="75"/>
      <c r="N826" s="70"/>
      <c r="O826" s="77" t="s">
        <v>179</v>
      </c>
      <c r="P826" s="79">
        <v>45096.040613425925</v>
      </c>
      <c r="Q826" s="77" t="s">
        <v>1375</v>
      </c>
      <c r="R826" s="77">
        <v>0</v>
      </c>
      <c r="S826" s="77">
        <v>0</v>
      </c>
      <c r="T826" s="77">
        <v>0</v>
      </c>
      <c r="U826" s="77">
        <v>0</v>
      </c>
      <c r="V826" s="77">
        <v>38</v>
      </c>
      <c r="W826" s="82" t="s">
        <v>1980</v>
      </c>
      <c r="X826" s="77"/>
      <c r="Y826" s="77"/>
      <c r="Z826" s="77"/>
      <c r="AA826" s="77"/>
      <c r="AB826" s="77"/>
      <c r="AC826" s="82" t="s">
        <v>2722</v>
      </c>
      <c r="AD826" s="77" t="s">
        <v>2752</v>
      </c>
      <c r="AE826" s="80" t="str">
        <f>HYPERLINK("https://twitter.com/gptdinheiro/status/1670596880261103617")</f>
        <v>https://twitter.com/gptdinheiro/status/1670596880261103617</v>
      </c>
      <c r="AF826" s="79">
        <v>45096.040613425925</v>
      </c>
      <c r="AG826" s="85">
        <v>45096</v>
      </c>
      <c r="AH826" s="82" t="s">
        <v>3569</v>
      </c>
      <c r="AI826" s="77"/>
      <c r="AJ826" s="77"/>
      <c r="AK826" s="77"/>
      <c r="AL826" s="77"/>
      <c r="AM826" s="77"/>
      <c r="AN826" s="77"/>
      <c r="AO826" s="77"/>
      <c r="AP826" s="77"/>
      <c r="AQ826" s="77"/>
      <c r="AR826" s="77"/>
      <c r="AS826" s="77"/>
      <c r="AT826" s="77"/>
      <c r="AU826" s="77"/>
      <c r="AV826" s="80" t="str">
        <f>HYPERLINK("https://pbs.twimg.com/profile_images/1670592241243508737/jq_HMW9j_normal.jpg")</f>
        <v>https://pbs.twimg.com/profile_images/1670592241243508737/jq_HMW9j_normal.jpg</v>
      </c>
      <c r="AW826" s="82" t="s">
        <v>5159</v>
      </c>
      <c r="AX826" s="82" t="s">
        <v>5159</v>
      </c>
      <c r="AY826" s="77"/>
      <c r="AZ826" s="82" t="s">
        <v>5615</v>
      </c>
      <c r="BA826" s="82" t="s">
        <v>5615</v>
      </c>
      <c r="BB826" s="82" t="s">
        <v>5615</v>
      </c>
      <c r="BC826" s="82" t="s">
        <v>5159</v>
      </c>
      <c r="BD826" s="82" t="s">
        <v>6044</v>
      </c>
      <c r="BE826" s="77"/>
      <c r="BF826" s="77"/>
      <c r="BG826" s="77"/>
      <c r="BH826" s="77"/>
      <c r="BI826" s="77"/>
    </row>
    <row r="827" spans="1:61" x14ac:dyDescent="0.25">
      <c r="A827" s="62" t="s">
        <v>488</v>
      </c>
      <c r="B827" s="62" t="s">
        <v>488</v>
      </c>
      <c r="C827" s="63"/>
      <c r="D827" s="64"/>
      <c r="E827" s="65"/>
      <c r="F827" s="66"/>
      <c r="G827" s="63"/>
      <c r="H827" s="67"/>
      <c r="I827" s="68"/>
      <c r="J827" s="68"/>
      <c r="K827" s="32"/>
      <c r="L827" s="75">
        <v>827</v>
      </c>
      <c r="M827" s="75"/>
      <c r="N827" s="70"/>
      <c r="O827" s="77" t="s">
        <v>179</v>
      </c>
      <c r="P827" s="79">
        <v>45116.764004629629</v>
      </c>
      <c r="Q827" s="77" t="s">
        <v>1376</v>
      </c>
      <c r="R827" s="77">
        <v>0</v>
      </c>
      <c r="S827" s="77">
        <v>0</v>
      </c>
      <c r="T827" s="77">
        <v>0</v>
      </c>
      <c r="U827" s="77">
        <v>0</v>
      </c>
      <c r="V827" s="77">
        <v>13</v>
      </c>
      <c r="W827" s="82" t="s">
        <v>1981</v>
      </c>
      <c r="X827" s="77"/>
      <c r="Y827" s="77"/>
      <c r="Z827" s="77"/>
      <c r="AA827" s="77" t="s">
        <v>2612</v>
      </c>
      <c r="AB827" s="77" t="s">
        <v>2713</v>
      </c>
      <c r="AC827" s="82" t="s">
        <v>2719</v>
      </c>
      <c r="AD827" s="77" t="s">
        <v>2753</v>
      </c>
      <c r="AE827" s="80" t="str">
        <f>HYPERLINK("https://twitter.com/suporteebook/status/1678106787478753280")</f>
        <v>https://twitter.com/suporteebook/status/1678106787478753280</v>
      </c>
      <c r="AF827" s="79">
        <v>45116.764004629629</v>
      </c>
      <c r="AG827" s="85">
        <v>45116</v>
      </c>
      <c r="AH827" s="82" t="s">
        <v>3570</v>
      </c>
      <c r="AI827" s="77" t="b">
        <v>0</v>
      </c>
      <c r="AJ827" s="77"/>
      <c r="AK827" s="77"/>
      <c r="AL827" s="77"/>
      <c r="AM827" s="77"/>
      <c r="AN827" s="77"/>
      <c r="AO827" s="77"/>
      <c r="AP827" s="77"/>
      <c r="AQ827" s="77" t="s">
        <v>4238</v>
      </c>
      <c r="AR827" s="77">
        <v>7600</v>
      </c>
      <c r="AS827" s="77"/>
      <c r="AT827" s="77"/>
      <c r="AU827" s="77"/>
      <c r="AV827" s="80" t="str">
        <f>HYPERLINK("https://pbs.twimg.com/ext_tw_video_thumb/1678106759435632641/pu/img/vnDpfX8pbhxjkZ2j.jpg")</f>
        <v>https://pbs.twimg.com/ext_tw_video_thumb/1678106759435632641/pu/img/vnDpfX8pbhxjkZ2j.jpg</v>
      </c>
      <c r="AW827" s="82" t="s">
        <v>5160</v>
      </c>
      <c r="AX827" s="82" t="s">
        <v>5160</v>
      </c>
      <c r="AY827" s="77"/>
      <c r="AZ827" s="82" t="s">
        <v>5615</v>
      </c>
      <c r="BA827" s="82" t="s">
        <v>5615</v>
      </c>
      <c r="BB827" s="82" t="s">
        <v>5615</v>
      </c>
      <c r="BC827" s="82" t="s">
        <v>5160</v>
      </c>
      <c r="BD827" s="82" t="s">
        <v>6045</v>
      </c>
      <c r="BE827" s="77"/>
      <c r="BF827" s="77"/>
      <c r="BG827" s="77"/>
      <c r="BH827" s="77"/>
      <c r="BI827" s="77"/>
    </row>
    <row r="828" spans="1:61" x14ac:dyDescent="0.25">
      <c r="A828" s="62" t="s">
        <v>489</v>
      </c>
      <c r="B828" s="62" t="s">
        <v>489</v>
      </c>
      <c r="C828" s="63"/>
      <c r="D828" s="64"/>
      <c r="E828" s="65"/>
      <c r="F828" s="66"/>
      <c r="G828" s="63"/>
      <c r="H828" s="67"/>
      <c r="I828" s="68"/>
      <c r="J828" s="68"/>
      <c r="K828" s="32"/>
      <c r="L828" s="75">
        <v>828</v>
      </c>
      <c r="M828" s="75"/>
      <c r="N828" s="70"/>
      <c r="O828" s="77" t="s">
        <v>179</v>
      </c>
      <c r="P828" s="79">
        <v>45077.085821759261</v>
      </c>
      <c r="Q828" s="77" t="s">
        <v>1377</v>
      </c>
      <c r="R828" s="77">
        <v>0</v>
      </c>
      <c r="S828" s="77">
        <v>0</v>
      </c>
      <c r="T828" s="77">
        <v>0</v>
      </c>
      <c r="U828" s="77">
        <v>0</v>
      </c>
      <c r="V828" s="77">
        <v>99</v>
      </c>
      <c r="W828" s="82" t="s">
        <v>1982</v>
      </c>
      <c r="X828" s="77"/>
      <c r="Y828" s="77"/>
      <c r="Z828" s="77"/>
      <c r="AA828" s="77" t="s">
        <v>2613</v>
      </c>
      <c r="AB828" s="77" t="s">
        <v>2713</v>
      </c>
      <c r="AC828" s="82" t="s">
        <v>2720</v>
      </c>
      <c r="AD828" s="77" t="s">
        <v>2753</v>
      </c>
      <c r="AE828" s="80" t="str">
        <f>HYPERLINK("https://twitter.com/cartaoclonadonf/status/1663727895611621376")</f>
        <v>https://twitter.com/cartaoclonadonf/status/1663727895611621376</v>
      </c>
      <c r="AF828" s="79">
        <v>45077.085821759261</v>
      </c>
      <c r="AG828" s="85">
        <v>45077</v>
      </c>
      <c r="AH828" s="82" t="s">
        <v>3571</v>
      </c>
      <c r="AI828" s="77" t="b">
        <v>0</v>
      </c>
      <c r="AJ828" s="77"/>
      <c r="AK828" s="77"/>
      <c r="AL828" s="77"/>
      <c r="AM828" s="77"/>
      <c r="AN828" s="77"/>
      <c r="AO828" s="77"/>
      <c r="AP828" s="77"/>
      <c r="AQ828" s="77" t="s">
        <v>4239</v>
      </c>
      <c r="AR828" s="77">
        <v>14966</v>
      </c>
      <c r="AS828" s="77"/>
      <c r="AT828" s="77"/>
      <c r="AU828" s="77"/>
      <c r="AV828" s="80" t="str">
        <f>HYPERLINK("https://pbs.twimg.com/ext_tw_video_thumb/1663727824358744066/pu/img/aHtApMdS2g1wDYsW.jpg")</f>
        <v>https://pbs.twimg.com/ext_tw_video_thumb/1663727824358744066/pu/img/aHtApMdS2g1wDYsW.jpg</v>
      </c>
      <c r="AW828" s="82" t="s">
        <v>5161</v>
      </c>
      <c r="AX828" s="82" t="s">
        <v>5161</v>
      </c>
      <c r="AY828" s="77"/>
      <c r="AZ828" s="82" t="s">
        <v>5615</v>
      </c>
      <c r="BA828" s="82" t="s">
        <v>5615</v>
      </c>
      <c r="BB828" s="82" t="s">
        <v>5615</v>
      </c>
      <c r="BC828" s="82" t="s">
        <v>5161</v>
      </c>
      <c r="BD828" s="82" t="s">
        <v>6046</v>
      </c>
      <c r="BE828" s="77"/>
      <c r="BF828" s="77"/>
      <c r="BG828" s="77"/>
      <c r="BH828" s="77"/>
      <c r="BI828" s="77"/>
    </row>
    <row r="829" spans="1:61" x14ac:dyDescent="0.25">
      <c r="A829" s="62" t="s">
        <v>490</v>
      </c>
      <c r="B829" s="62" t="s">
        <v>490</v>
      </c>
      <c r="C829" s="63"/>
      <c r="D829" s="64"/>
      <c r="E829" s="65"/>
      <c r="F829" s="66"/>
      <c r="G829" s="63"/>
      <c r="H829" s="67"/>
      <c r="I829" s="68"/>
      <c r="J829" s="68"/>
      <c r="K829" s="32"/>
      <c r="L829" s="75">
        <v>829</v>
      </c>
      <c r="M829" s="75"/>
      <c r="N829" s="70"/>
      <c r="O829" s="77" t="s">
        <v>179</v>
      </c>
      <c r="P829" s="79">
        <v>45176.59516203704</v>
      </c>
      <c r="Q829" s="77" t="s">
        <v>1378</v>
      </c>
      <c r="R829" s="77">
        <v>0</v>
      </c>
      <c r="S829" s="77">
        <v>0</v>
      </c>
      <c r="T829" s="77">
        <v>0</v>
      </c>
      <c r="U829" s="77">
        <v>0</v>
      </c>
      <c r="V829" s="77">
        <v>7</v>
      </c>
      <c r="W829" s="82" t="s">
        <v>1983</v>
      </c>
      <c r="X829" s="77"/>
      <c r="Y829" s="77"/>
      <c r="Z829" s="77"/>
      <c r="AA829" s="77" t="s">
        <v>2614</v>
      </c>
      <c r="AB829" s="77" t="s">
        <v>2714</v>
      </c>
      <c r="AC829" s="82" t="s">
        <v>2722</v>
      </c>
      <c r="AD829" s="77" t="s">
        <v>2752</v>
      </c>
      <c r="AE829" s="80" t="str">
        <f>HYPERLINK("https://twitter.com/i_monetaria/status/1699788872685941245")</f>
        <v>https://twitter.com/i_monetaria/status/1699788872685941245</v>
      </c>
      <c r="AF829" s="79">
        <v>45176.59516203704</v>
      </c>
      <c r="AG829" s="85">
        <v>45176</v>
      </c>
      <c r="AH829" s="82" t="s">
        <v>3572</v>
      </c>
      <c r="AI829" s="77" t="b">
        <v>0</v>
      </c>
      <c r="AJ829" s="77"/>
      <c r="AK829" s="77"/>
      <c r="AL829" s="77"/>
      <c r="AM829" s="77"/>
      <c r="AN829" s="77"/>
      <c r="AO829" s="77"/>
      <c r="AP829" s="77"/>
      <c r="AQ829" s="77" t="s">
        <v>4240</v>
      </c>
      <c r="AR829" s="77"/>
      <c r="AS829" s="77"/>
      <c r="AT829" s="77"/>
      <c r="AU829" s="77"/>
      <c r="AV829" s="80" t="str">
        <f>HYPERLINK("https://pbs.twimg.com/media/F5bc7CxawAARX5F.jpg")</f>
        <v>https://pbs.twimg.com/media/F5bc7CxawAARX5F.jpg</v>
      </c>
      <c r="AW829" s="82" t="s">
        <v>5162</v>
      </c>
      <c r="AX829" s="82" t="s">
        <v>5162</v>
      </c>
      <c r="AY829" s="77"/>
      <c r="AZ829" s="82" t="s">
        <v>5615</v>
      </c>
      <c r="BA829" s="82" t="s">
        <v>5615</v>
      </c>
      <c r="BB829" s="82" t="s">
        <v>5615</v>
      </c>
      <c r="BC829" s="82" t="s">
        <v>5162</v>
      </c>
      <c r="BD829" s="82" t="s">
        <v>6047</v>
      </c>
      <c r="BE829" s="77"/>
      <c r="BF829" s="77"/>
      <c r="BG829" s="77"/>
      <c r="BH829" s="77"/>
      <c r="BI829" s="77"/>
    </row>
    <row r="830" spans="1:61" x14ac:dyDescent="0.25">
      <c r="A830" s="62" t="s">
        <v>491</v>
      </c>
      <c r="B830" s="62" t="s">
        <v>491</v>
      </c>
      <c r="C830" s="63"/>
      <c r="D830" s="64"/>
      <c r="E830" s="65"/>
      <c r="F830" s="66"/>
      <c r="G830" s="63"/>
      <c r="H830" s="67"/>
      <c r="I830" s="68"/>
      <c r="J830" s="68"/>
      <c r="K830" s="32"/>
      <c r="L830" s="75">
        <v>830</v>
      </c>
      <c r="M830" s="75"/>
      <c r="N830" s="70"/>
      <c r="O830" s="77" t="s">
        <v>179</v>
      </c>
      <c r="P830" s="79">
        <v>45140.766655092593</v>
      </c>
      <c r="Q830" s="77" t="s">
        <v>1379</v>
      </c>
      <c r="R830" s="77">
        <v>0</v>
      </c>
      <c r="S830" s="77">
        <v>0</v>
      </c>
      <c r="T830" s="77">
        <v>1</v>
      </c>
      <c r="U830" s="77">
        <v>0</v>
      </c>
      <c r="V830" s="77">
        <v>36</v>
      </c>
      <c r="W830" s="82" t="s">
        <v>1984</v>
      </c>
      <c r="X830" s="77"/>
      <c r="Y830" s="77"/>
      <c r="Z830" s="77"/>
      <c r="AA830" s="77" t="s">
        <v>2615</v>
      </c>
      <c r="AB830" s="77" t="s">
        <v>2713</v>
      </c>
      <c r="AC830" s="82" t="s">
        <v>2722</v>
      </c>
      <c r="AD830" s="77" t="s">
        <v>2752</v>
      </c>
      <c r="AE830" s="80" t="str">
        <f>HYPERLINK("https://twitter.com/homeprofissao/status/1686805058367746053")</f>
        <v>https://twitter.com/homeprofissao/status/1686805058367746053</v>
      </c>
      <c r="AF830" s="79">
        <v>45140.766655092593</v>
      </c>
      <c r="AG830" s="85">
        <v>45140</v>
      </c>
      <c r="AH830" s="82" t="s">
        <v>3573</v>
      </c>
      <c r="AI830" s="77" t="b">
        <v>0</v>
      </c>
      <c r="AJ830" s="77"/>
      <c r="AK830" s="77"/>
      <c r="AL830" s="77"/>
      <c r="AM830" s="77"/>
      <c r="AN830" s="77"/>
      <c r="AO830" s="77"/>
      <c r="AP830" s="77"/>
      <c r="AQ830" s="77" t="s">
        <v>4241</v>
      </c>
      <c r="AR830" s="77">
        <v>7733</v>
      </c>
      <c r="AS830" s="77"/>
      <c r="AT830" s="77"/>
      <c r="AU830" s="77"/>
      <c r="AV830" s="80" t="str">
        <f>HYPERLINK("https://pbs.twimg.com/ext_tw_video_thumb/1686804843355164672/pu/img/tTCAwXSPgA1r4E_Q.jpg")</f>
        <v>https://pbs.twimg.com/ext_tw_video_thumb/1686804843355164672/pu/img/tTCAwXSPgA1r4E_Q.jpg</v>
      </c>
      <c r="AW830" s="82" t="s">
        <v>5163</v>
      </c>
      <c r="AX830" s="82" t="s">
        <v>5163</v>
      </c>
      <c r="AY830" s="77"/>
      <c r="AZ830" s="82" t="s">
        <v>5615</v>
      </c>
      <c r="BA830" s="82" t="s">
        <v>5615</v>
      </c>
      <c r="BB830" s="82" t="s">
        <v>5615</v>
      </c>
      <c r="BC830" s="82" t="s">
        <v>5163</v>
      </c>
      <c r="BD830" s="82" t="s">
        <v>6048</v>
      </c>
      <c r="BE830" s="77"/>
      <c r="BF830" s="77"/>
      <c r="BG830" s="77"/>
      <c r="BH830" s="77"/>
      <c r="BI830" s="77"/>
    </row>
    <row r="831" spans="1:61" x14ac:dyDescent="0.25">
      <c r="A831" s="62" t="s">
        <v>491</v>
      </c>
      <c r="B831" s="62" t="s">
        <v>491</v>
      </c>
      <c r="C831" s="63"/>
      <c r="D831" s="64"/>
      <c r="E831" s="65"/>
      <c r="F831" s="66"/>
      <c r="G831" s="63"/>
      <c r="H831" s="67"/>
      <c r="I831" s="68"/>
      <c r="J831" s="68"/>
      <c r="K831" s="32"/>
      <c r="L831" s="75">
        <v>831</v>
      </c>
      <c r="M831" s="75"/>
      <c r="N831" s="70"/>
      <c r="O831" s="77" t="s">
        <v>179</v>
      </c>
      <c r="P831" s="79">
        <v>45140.760949074072</v>
      </c>
      <c r="Q831" s="77" t="s">
        <v>1380</v>
      </c>
      <c r="R831" s="77">
        <v>0</v>
      </c>
      <c r="S831" s="77">
        <v>1</v>
      </c>
      <c r="T831" s="77">
        <v>0</v>
      </c>
      <c r="U831" s="77">
        <v>0</v>
      </c>
      <c r="V831" s="77">
        <v>170</v>
      </c>
      <c r="W831" s="82" t="s">
        <v>1985</v>
      </c>
      <c r="X831" s="77"/>
      <c r="Y831" s="77"/>
      <c r="Z831" s="77"/>
      <c r="AA831" s="77" t="s">
        <v>2616</v>
      </c>
      <c r="AB831" s="77" t="s">
        <v>2713</v>
      </c>
      <c r="AC831" s="82" t="s">
        <v>2722</v>
      </c>
      <c r="AD831" s="77" t="s">
        <v>2752</v>
      </c>
      <c r="AE831" s="80" t="str">
        <f>HYPERLINK("https://twitter.com/homeprofissao/status/1686802989376303115")</f>
        <v>https://twitter.com/homeprofissao/status/1686802989376303115</v>
      </c>
      <c r="AF831" s="79">
        <v>45140.760949074072</v>
      </c>
      <c r="AG831" s="85">
        <v>45140</v>
      </c>
      <c r="AH831" s="82" t="s">
        <v>3574</v>
      </c>
      <c r="AI831" s="77" t="b">
        <v>0</v>
      </c>
      <c r="AJ831" s="77"/>
      <c r="AK831" s="77"/>
      <c r="AL831" s="77"/>
      <c r="AM831" s="77"/>
      <c r="AN831" s="77"/>
      <c r="AO831" s="77"/>
      <c r="AP831" s="77"/>
      <c r="AQ831" s="77" t="s">
        <v>4242</v>
      </c>
      <c r="AR831" s="77">
        <v>17733</v>
      </c>
      <c r="AS831" s="77"/>
      <c r="AT831" s="77"/>
      <c r="AU831" s="77"/>
      <c r="AV831" s="80" t="str">
        <f>HYPERLINK("https://pbs.twimg.com/ext_tw_video_thumb/1686802726720598022/pu/img/GQzEQXwAZBMJqZGh.jpg")</f>
        <v>https://pbs.twimg.com/ext_tw_video_thumb/1686802726720598022/pu/img/GQzEQXwAZBMJqZGh.jpg</v>
      </c>
      <c r="AW831" s="82" t="s">
        <v>5164</v>
      </c>
      <c r="AX831" s="82" t="s">
        <v>5164</v>
      </c>
      <c r="AY831" s="77"/>
      <c r="AZ831" s="82" t="s">
        <v>5615</v>
      </c>
      <c r="BA831" s="82" t="s">
        <v>5615</v>
      </c>
      <c r="BB831" s="82" t="s">
        <v>5615</v>
      </c>
      <c r="BC831" s="82" t="s">
        <v>5164</v>
      </c>
      <c r="BD831" s="82" t="s">
        <v>6048</v>
      </c>
      <c r="BE831" s="77"/>
      <c r="BF831" s="77"/>
      <c r="BG831" s="77"/>
      <c r="BH831" s="77"/>
      <c r="BI831" s="77"/>
    </row>
    <row r="832" spans="1:61" x14ac:dyDescent="0.25">
      <c r="A832" s="62" t="s">
        <v>491</v>
      </c>
      <c r="B832" s="62" t="s">
        <v>491</v>
      </c>
      <c r="C832" s="63"/>
      <c r="D832" s="64"/>
      <c r="E832" s="65"/>
      <c r="F832" s="66"/>
      <c r="G832" s="63"/>
      <c r="H832" s="67"/>
      <c r="I832" s="68"/>
      <c r="J832" s="68"/>
      <c r="K832" s="32"/>
      <c r="L832" s="75">
        <v>832</v>
      </c>
      <c r="M832" s="75"/>
      <c r="N832" s="70"/>
      <c r="O832" s="77" t="s">
        <v>179</v>
      </c>
      <c r="P832" s="79">
        <v>45140.758009259262</v>
      </c>
      <c r="Q832" s="77" t="s">
        <v>1381</v>
      </c>
      <c r="R832" s="77">
        <v>0</v>
      </c>
      <c r="S832" s="77">
        <v>0</v>
      </c>
      <c r="T832" s="77">
        <v>0</v>
      </c>
      <c r="U832" s="77">
        <v>0</v>
      </c>
      <c r="V832" s="77">
        <v>98</v>
      </c>
      <c r="W832" s="82" t="s">
        <v>1986</v>
      </c>
      <c r="X832" s="77"/>
      <c r="Y832" s="77"/>
      <c r="Z832" s="77"/>
      <c r="AA832" s="77" t="s">
        <v>2617</v>
      </c>
      <c r="AB832" s="77" t="s">
        <v>2713</v>
      </c>
      <c r="AC832" s="82" t="s">
        <v>2722</v>
      </c>
      <c r="AD832" s="77" t="s">
        <v>2752</v>
      </c>
      <c r="AE832" s="80" t="str">
        <f>HYPERLINK("https://twitter.com/homeprofissao/status/1686801921493942272")</f>
        <v>https://twitter.com/homeprofissao/status/1686801921493942272</v>
      </c>
      <c r="AF832" s="79">
        <v>45140.758009259262</v>
      </c>
      <c r="AG832" s="85">
        <v>45140</v>
      </c>
      <c r="AH832" s="82" t="s">
        <v>3575</v>
      </c>
      <c r="AI832" s="77" t="b">
        <v>0</v>
      </c>
      <c r="AJ832" s="77"/>
      <c r="AK832" s="77"/>
      <c r="AL832" s="77"/>
      <c r="AM832" s="77"/>
      <c r="AN832" s="77"/>
      <c r="AO832" s="77"/>
      <c r="AP832" s="77"/>
      <c r="AQ832" s="77" t="s">
        <v>4243</v>
      </c>
      <c r="AR832" s="77">
        <v>16830</v>
      </c>
      <c r="AS832" s="77"/>
      <c r="AT832" s="77"/>
      <c r="AU832" s="77"/>
      <c r="AV832" s="80" t="str">
        <f>HYPERLINK("https://pbs.twimg.com/ext_tw_video_thumb/1686801776903680006/pu/img/7m6rqKcZxR11KU2Q.jpg")</f>
        <v>https://pbs.twimg.com/ext_tw_video_thumb/1686801776903680006/pu/img/7m6rqKcZxR11KU2Q.jpg</v>
      </c>
      <c r="AW832" s="82" t="s">
        <v>5165</v>
      </c>
      <c r="AX832" s="82" t="s">
        <v>5165</v>
      </c>
      <c r="AY832" s="77"/>
      <c r="AZ832" s="82" t="s">
        <v>5615</v>
      </c>
      <c r="BA832" s="82" t="s">
        <v>5615</v>
      </c>
      <c r="BB832" s="82" t="s">
        <v>5615</v>
      </c>
      <c r="BC832" s="82" t="s">
        <v>5165</v>
      </c>
      <c r="BD832" s="82" t="s">
        <v>6048</v>
      </c>
      <c r="BE832" s="77"/>
      <c r="BF832" s="77"/>
      <c r="BG832" s="77"/>
      <c r="BH832" s="77"/>
      <c r="BI832" s="77"/>
    </row>
    <row r="833" spans="1:61" x14ac:dyDescent="0.25">
      <c r="A833" s="62" t="s">
        <v>492</v>
      </c>
      <c r="B833" s="62" t="s">
        <v>492</v>
      </c>
      <c r="C833" s="63"/>
      <c r="D833" s="64"/>
      <c r="E833" s="65"/>
      <c r="F833" s="66"/>
      <c r="G833" s="63"/>
      <c r="H833" s="67"/>
      <c r="I833" s="68"/>
      <c r="J833" s="68"/>
      <c r="K833" s="32"/>
      <c r="L833" s="75">
        <v>833</v>
      </c>
      <c r="M833" s="75"/>
      <c r="N833" s="70"/>
      <c r="O833" s="77" t="s">
        <v>179</v>
      </c>
      <c r="P833" s="79">
        <v>45054.915578703702</v>
      </c>
      <c r="Q833" s="77" t="s">
        <v>1382</v>
      </c>
      <c r="R833" s="77">
        <v>0</v>
      </c>
      <c r="S833" s="77">
        <v>1</v>
      </c>
      <c r="T833" s="77">
        <v>0</v>
      </c>
      <c r="U833" s="77">
        <v>0</v>
      </c>
      <c r="V833" s="77">
        <v>34</v>
      </c>
      <c r="W833" s="82" t="s">
        <v>1987</v>
      </c>
      <c r="X833" s="77"/>
      <c r="Y833" s="77"/>
      <c r="Z833" s="77"/>
      <c r="AA833" s="77" t="s">
        <v>2618</v>
      </c>
      <c r="AB833" s="77" t="s">
        <v>2714</v>
      </c>
      <c r="AC833" s="82" t="s">
        <v>2719</v>
      </c>
      <c r="AD833" s="77" t="s">
        <v>2752</v>
      </c>
      <c r="AE833" s="80" t="str">
        <f>HYPERLINK("https://twitter.com/sobre_rodrigo/status/1655693669742116864")</f>
        <v>https://twitter.com/sobre_rodrigo/status/1655693669742116864</v>
      </c>
      <c r="AF833" s="79">
        <v>45054.915578703702</v>
      </c>
      <c r="AG833" s="85">
        <v>45054</v>
      </c>
      <c r="AH833" s="82" t="s">
        <v>3576</v>
      </c>
      <c r="AI833" s="77" t="b">
        <v>0</v>
      </c>
      <c r="AJ833" s="77"/>
      <c r="AK833" s="77"/>
      <c r="AL833" s="77"/>
      <c r="AM833" s="77"/>
      <c r="AN833" s="77"/>
      <c r="AO833" s="77"/>
      <c r="AP833" s="77"/>
      <c r="AQ833" s="77" t="s">
        <v>4244</v>
      </c>
      <c r="AR833" s="77"/>
      <c r="AS833" s="77"/>
      <c r="AT833" s="77"/>
      <c r="AU833" s="77"/>
      <c r="AV833" s="80" t="str">
        <f>HYPERLINK("https://pbs.twimg.com/media/Fvo0nlOWcAEmg6b.jpg")</f>
        <v>https://pbs.twimg.com/media/Fvo0nlOWcAEmg6b.jpg</v>
      </c>
      <c r="AW833" s="82" t="s">
        <v>5166</v>
      </c>
      <c r="AX833" s="82" t="s">
        <v>5166</v>
      </c>
      <c r="AY833" s="77"/>
      <c r="AZ833" s="82" t="s">
        <v>5615</v>
      </c>
      <c r="BA833" s="82" t="s">
        <v>5615</v>
      </c>
      <c r="BB833" s="82" t="s">
        <v>5615</v>
      </c>
      <c r="BC833" s="82" t="s">
        <v>5166</v>
      </c>
      <c r="BD833" s="82" t="s">
        <v>6049</v>
      </c>
      <c r="BE833" s="77"/>
      <c r="BF833" s="77"/>
      <c r="BG833" s="77"/>
      <c r="BH833" s="77"/>
      <c r="BI833" s="77"/>
    </row>
    <row r="834" spans="1:61" x14ac:dyDescent="0.25">
      <c r="A834" s="62" t="s">
        <v>493</v>
      </c>
      <c r="B834" s="62" t="s">
        <v>493</v>
      </c>
      <c r="C834" s="63"/>
      <c r="D834" s="64"/>
      <c r="E834" s="65"/>
      <c r="F834" s="66"/>
      <c r="G834" s="63"/>
      <c r="H834" s="67"/>
      <c r="I834" s="68"/>
      <c r="J834" s="68"/>
      <c r="K834" s="32"/>
      <c r="L834" s="75">
        <v>834</v>
      </c>
      <c r="M834" s="75"/>
      <c r="N834" s="70"/>
      <c r="O834" s="77" t="s">
        <v>179</v>
      </c>
      <c r="P834" s="79">
        <v>45003.502199074072</v>
      </c>
      <c r="Q834" s="77" t="s">
        <v>1383</v>
      </c>
      <c r="R834" s="77">
        <v>0</v>
      </c>
      <c r="S834" s="77">
        <v>1</v>
      </c>
      <c r="T834" s="77">
        <v>0</v>
      </c>
      <c r="U834" s="77">
        <v>0</v>
      </c>
      <c r="V834" s="77">
        <v>34</v>
      </c>
      <c r="W834" s="82" t="s">
        <v>1988</v>
      </c>
      <c r="X834" s="77"/>
      <c r="Y834" s="77"/>
      <c r="Z834" s="77"/>
      <c r="AA834" s="77" t="s">
        <v>2619</v>
      </c>
      <c r="AB834" s="77" t="s">
        <v>2713</v>
      </c>
      <c r="AC834" s="82" t="s">
        <v>2720</v>
      </c>
      <c r="AD834" s="77" t="s">
        <v>2752</v>
      </c>
      <c r="AE834" s="80" t="str">
        <f>HYPERLINK("https://twitter.com/clubedericos/status/1637062081865236482")</f>
        <v>https://twitter.com/clubedericos/status/1637062081865236482</v>
      </c>
      <c r="AF834" s="79">
        <v>45003.502199074072</v>
      </c>
      <c r="AG834" s="85">
        <v>45003</v>
      </c>
      <c r="AH834" s="82" t="s">
        <v>3577</v>
      </c>
      <c r="AI834" s="77" t="b">
        <v>0</v>
      </c>
      <c r="AJ834" s="77"/>
      <c r="AK834" s="77"/>
      <c r="AL834" s="77"/>
      <c r="AM834" s="77"/>
      <c r="AN834" s="77"/>
      <c r="AO834" s="77"/>
      <c r="AP834" s="77"/>
      <c r="AQ834" s="77" t="s">
        <v>4245</v>
      </c>
      <c r="AR834" s="77">
        <v>5000</v>
      </c>
      <c r="AS834" s="77"/>
      <c r="AT834" s="77"/>
      <c r="AU834" s="77"/>
      <c r="AV834" s="80" t="str">
        <f>HYPERLINK("https://pbs.twimg.com/ext_tw_video_thumb/1637062060600066051/pu/img/3TLhRiQXd56XwOnq.jpg")</f>
        <v>https://pbs.twimg.com/ext_tw_video_thumb/1637062060600066051/pu/img/3TLhRiQXd56XwOnq.jpg</v>
      </c>
      <c r="AW834" s="82" t="s">
        <v>5167</v>
      </c>
      <c r="AX834" s="82" t="s">
        <v>5167</v>
      </c>
      <c r="AY834" s="77"/>
      <c r="AZ834" s="82" t="s">
        <v>5615</v>
      </c>
      <c r="BA834" s="82" t="s">
        <v>5615</v>
      </c>
      <c r="BB834" s="82" t="s">
        <v>5615</v>
      </c>
      <c r="BC834" s="82" t="s">
        <v>5167</v>
      </c>
      <c r="BD834" s="82" t="s">
        <v>6050</v>
      </c>
      <c r="BE834" s="77"/>
      <c r="BF834" s="77"/>
      <c r="BG834" s="77"/>
      <c r="BH834" s="77"/>
      <c r="BI834" s="77"/>
    </row>
    <row r="835" spans="1:61" x14ac:dyDescent="0.25">
      <c r="A835" s="62" t="s">
        <v>494</v>
      </c>
      <c r="B835" s="62" t="s">
        <v>494</v>
      </c>
      <c r="C835" s="63"/>
      <c r="D835" s="64"/>
      <c r="E835" s="65"/>
      <c r="F835" s="66"/>
      <c r="G835" s="63"/>
      <c r="H835" s="67"/>
      <c r="I835" s="68"/>
      <c r="J835" s="68"/>
      <c r="K835" s="32"/>
      <c r="L835" s="75">
        <v>835</v>
      </c>
      <c r="M835" s="75"/>
      <c r="N835" s="70"/>
      <c r="O835" s="77" t="s">
        <v>179</v>
      </c>
      <c r="P835" s="79">
        <v>45002.324374999997</v>
      </c>
      <c r="Q835" s="77" t="s">
        <v>1384</v>
      </c>
      <c r="R835" s="77">
        <v>0</v>
      </c>
      <c r="S835" s="77">
        <v>0</v>
      </c>
      <c r="T835" s="77">
        <v>0</v>
      </c>
      <c r="U835" s="77">
        <v>0</v>
      </c>
      <c r="V835" s="77">
        <v>6</v>
      </c>
      <c r="W835" s="82" t="s">
        <v>1989</v>
      </c>
      <c r="X835" s="77"/>
      <c r="Y835" s="77"/>
      <c r="Z835" s="77"/>
      <c r="AA835" s="77"/>
      <c r="AB835" s="77"/>
      <c r="AC835" s="82" t="s">
        <v>2722</v>
      </c>
      <c r="AD835" s="77" t="s">
        <v>2756</v>
      </c>
      <c r="AE835" s="80" t="str">
        <f>HYPERLINK("https://twitter.com/grm88765974grm/status/1636635252708843524")</f>
        <v>https://twitter.com/grm88765974grm/status/1636635252708843524</v>
      </c>
      <c r="AF835" s="79">
        <v>45002.324374999997</v>
      </c>
      <c r="AG835" s="85">
        <v>45002</v>
      </c>
      <c r="AH835" s="82" t="s">
        <v>3578</v>
      </c>
      <c r="AI835" s="77"/>
      <c r="AJ835" s="77"/>
      <c r="AK835" s="77"/>
      <c r="AL835" s="77"/>
      <c r="AM835" s="77"/>
      <c r="AN835" s="77"/>
      <c r="AO835" s="77"/>
      <c r="AP835" s="77"/>
      <c r="AQ835" s="77"/>
      <c r="AR835" s="77"/>
      <c r="AS835" s="77"/>
      <c r="AT835" s="77"/>
      <c r="AU835" s="77"/>
      <c r="AV835" s="80" t="str">
        <f>HYPERLINK("https://pbs.twimg.com/profile_images/1620876828524089352/eUOKMokw_normal.jpg")</f>
        <v>https://pbs.twimg.com/profile_images/1620876828524089352/eUOKMokw_normal.jpg</v>
      </c>
      <c r="AW835" s="82" t="s">
        <v>5168</v>
      </c>
      <c r="AX835" s="82" t="s">
        <v>5168</v>
      </c>
      <c r="AY835" s="77"/>
      <c r="AZ835" s="82" t="s">
        <v>5615</v>
      </c>
      <c r="BA835" s="82" t="s">
        <v>5615</v>
      </c>
      <c r="BB835" s="82" t="s">
        <v>5615</v>
      </c>
      <c r="BC835" s="82" t="s">
        <v>5168</v>
      </c>
      <c r="BD835" s="82" t="s">
        <v>6051</v>
      </c>
      <c r="BE835" s="77"/>
      <c r="BF835" s="77"/>
      <c r="BG835" s="77"/>
      <c r="BH835" s="77"/>
      <c r="BI835" s="77"/>
    </row>
    <row r="836" spans="1:61" x14ac:dyDescent="0.25">
      <c r="A836" s="62" t="s">
        <v>495</v>
      </c>
      <c r="B836" s="62" t="s">
        <v>495</v>
      </c>
      <c r="C836" s="63"/>
      <c r="D836" s="64"/>
      <c r="E836" s="65"/>
      <c r="F836" s="66"/>
      <c r="G836" s="63"/>
      <c r="H836" s="67"/>
      <c r="I836" s="68"/>
      <c r="J836" s="68"/>
      <c r="K836" s="32"/>
      <c r="L836" s="75">
        <v>836</v>
      </c>
      <c r="M836" s="75"/>
      <c r="N836" s="70"/>
      <c r="O836" s="77" t="s">
        <v>179</v>
      </c>
      <c r="P836" s="79">
        <v>44944.730821759258</v>
      </c>
      <c r="Q836" s="77" t="s">
        <v>1385</v>
      </c>
      <c r="R836" s="77">
        <v>0</v>
      </c>
      <c r="S836" s="77">
        <v>0</v>
      </c>
      <c r="T836" s="77">
        <v>0</v>
      </c>
      <c r="U836" s="77">
        <v>0</v>
      </c>
      <c r="V836" s="77">
        <v>4</v>
      </c>
      <c r="W836" s="82" t="s">
        <v>1563</v>
      </c>
      <c r="X836" s="80" t="str">
        <f>HYPERLINK("https://hotm.art/trabalheemsuacasahoje")</f>
        <v>https://hotm.art/trabalheemsuacasahoje</v>
      </c>
      <c r="Y836" s="77" t="s">
        <v>2135</v>
      </c>
      <c r="Z836" s="77"/>
      <c r="AA836" s="77" t="s">
        <v>2620</v>
      </c>
      <c r="AB836" s="77" t="s">
        <v>2714</v>
      </c>
      <c r="AC836" s="82" t="s">
        <v>2722</v>
      </c>
      <c r="AD836" s="77" t="s">
        <v>2752</v>
      </c>
      <c r="AE836" s="80" t="str">
        <f>HYPERLINK("https://twitter.com/suavidadigital/status/1615764047626113026")</f>
        <v>https://twitter.com/suavidadigital/status/1615764047626113026</v>
      </c>
      <c r="AF836" s="79">
        <v>44944.730821759258</v>
      </c>
      <c r="AG836" s="85">
        <v>44944</v>
      </c>
      <c r="AH836" s="82" t="s">
        <v>3579</v>
      </c>
      <c r="AI836" s="77" t="b">
        <v>0</v>
      </c>
      <c r="AJ836" s="77"/>
      <c r="AK836" s="77"/>
      <c r="AL836" s="77"/>
      <c r="AM836" s="77"/>
      <c r="AN836" s="77"/>
      <c r="AO836" s="77"/>
      <c r="AP836" s="77"/>
      <c r="AQ836" s="77" t="s">
        <v>4246</v>
      </c>
      <c r="AR836" s="77"/>
      <c r="AS836" s="77"/>
      <c r="AT836" s="77"/>
      <c r="AU836" s="77"/>
      <c r="AV836" s="80" t="str">
        <f>HYPERLINK("https://pbs.twimg.com/media/FmxYm8RWAAsMVfL.jpg")</f>
        <v>https://pbs.twimg.com/media/FmxYm8RWAAsMVfL.jpg</v>
      </c>
      <c r="AW836" s="82" t="s">
        <v>5169</v>
      </c>
      <c r="AX836" s="82" t="s">
        <v>5169</v>
      </c>
      <c r="AY836" s="77"/>
      <c r="AZ836" s="82" t="s">
        <v>5615</v>
      </c>
      <c r="BA836" s="82" t="s">
        <v>5615</v>
      </c>
      <c r="BB836" s="82" t="s">
        <v>5615</v>
      </c>
      <c r="BC836" s="82" t="s">
        <v>5169</v>
      </c>
      <c r="BD836" s="82" t="s">
        <v>6052</v>
      </c>
      <c r="BE836" s="77"/>
      <c r="BF836" s="77"/>
      <c r="BG836" s="77"/>
      <c r="BH836" s="77"/>
      <c r="BI836" s="77"/>
    </row>
    <row r="837" spans="1:61" x14ac:dyDescent="0.25">
      <c r="A837" s="62" t="s">
        <v>496</v>
      </c>
      <c r="B837" s="62" t="s">
        <v>496</v>
      </c>
      <c r="C837" s="63"/>
      <c r="D837" s="64"/>
      <c r="E837" s="65"/>
      <c r="F837" s="66"/>
      <c r="G837" s="63"/>
      <c r="H837" s="67"/>
      <c r="I837" s="68"/>
      <c r="J837" s="68"/>
      <c r="K837" s="32"/>
      <c r="L837" s="75">
        <v>837</v>
      </c>
      <c r="M837" s="75"/>
      <c r="N837" s="70"/>
      <c r="O837" s="77" t="s">
        <v>179</v>
      </c>
      <c r="P837" s="79">
        <v>45012.57571759259</v>
      </c>
      <c r="Q837" s="77" t="s">
        <v>1386</v>
      </c>
      <c r="R837" s="77">
        <v>0</v>
      </c>
      <c r="S837" s="77">
        <v>0</v>
      </c>
      <c r="T837" s="77">
        <v>0</v>
      </c>
      <c r="U837" s="77">
        <v>0</v>
      </c>
      <c r="V837" s="77">
        <v>11</v>
      </c>
      <c r="W837" s="82" t="s">
        <v>1990</v>
      </c>
      <c r="X837" s="77"/>
      <c r="Y837" s="77"/>
      <c r="Z837" s="77"/>
      <c r="AA837" s="77"/>
      <c r="AB837" s="77"/>
      <c r="AC837" s="82" t="s">
        <v>2719</v>
      </c>
      <c r="AD837" s="77" t="s">
        <v>2752</v>
      </c>
      <c r="AE837" s="80" t="str">
        <f>HYPERLINK("https://twitter.com/marceloadsva/status/1640350216380461057")</f>
        <v>https://twitter.com/marceloadsva/status/1640350216380461057</v>
      </c>
      <c r="AF837" s="79">
        <v>45012.57571759259</v>
      </c>
      <c r="AG837" s="85">
        <v>45012</v>
      </c>
      <c r="AH837" s="82" t="s">
        <v>3580</v>
      </c>
      <c r="AI837" s="77"/>
      <c r="AJ837" s="77"/>
      <c r="AK837" s="77"/>
      <c r="AL837" s="77"/>
      <c r="AM837" s="77"/>
      <c r="AN837" s="77"/>
      <c r="AO837" s="77"/>
      <c r="AP837" s="77"/>
      <c r="AQ837" s="77"/>
      <c r="AR837" s="77"/>
      <c r="AS837" s="77"/>
      <c r="AT837" s="77"/>
      <c r="AU837" s="77"/>
      <c r="AV837" s="80" t="str">
        <f>HYPERLINK("https://pbs.twimg.com/profile_images/1640351118462005248/Yv9if8Ga_normal.jpg")</f>
        <v>https://pbs.twimg.com/profile_images/1640351118462005248/Yv9if8Ga_normal.jpg</v>
      </c>
      <c r="AW837" s="82" t="s">
        <v>5170</v>
      </c>
      <c r="AX837" s="82" t="s">
        <v>5170</v>
      </c>
      <c r="AY837" s="77"/>
      <c r="AZ837" s="82" t="s">
        <v>5615</v>
      </c>
      <c r="BA837" s="82" t="s">
        <v>5615</v>
      </c>
      <c r="BB837" s="82" t="s">
        <v>5615</v>
      </c>
      <c r="BC837" s="82" t="s">
        <v>5170</v>
      </c>
      <c r="BD837" s="82" t="s">
        <v>6053</v>
      </c>
      <c r="BE837" s="77"/>
      <c r="BF837" s="77"/>
      <c r="BG837" s="77"/>
      <c r="BH837" s="77"/>
      <c r="BI837" s="77"/>
    </row>
    <row r="838" spans="1:61" x14ac:dyDescent="0.25">
      <c r="A838" s="62" t="s">
        <v>497</v>
      </c>
      <c r="B838" s="62" t="s">
        <v>497</v>
      </c>
      <c r="C838" s="63"/>
      <c r="D838" s="64"/>
      <c r="E838" s="65"/>
      <c r="F838" s="66"/>
      <c r="G838" s="63"/>
      <c r="H838" s="67"/>
      <c r="I838" s="68"/>
      <c r="J838" s="68"/>
      <c r="K838" s="32"/>
      <c r="L838" s="75">
        <v>838</v>
      </c>
      <c r="M838" s="75"/>
      <c r="N838" s="70"/>
      <c r="O838" s="77" t="s">
        <v>586</v>
      </c>
      <c r="P838" s="79">
        <v>45186.698182870372</v>
      </c>
      <c r="Q838" s="77" t="s">
        <v>1387</v>
      </c>
      <c r="R838" s="77">
        <v>0</v>
      </c>
      <c r="S838" s="77">
        <v>1</v>
      </c>
      <c r="T838" s="77">
        <v>1</v>
      </c>
      <c r="U838" s="77">
        <v>0</v>
      </c>
      <c r="V838" s="77">
        <v>9</v>
      </c>
      <c r="W838" s="82" t="s">
        <v>1991</v>
      </c>
      <c r="X838" s="77"/>
      <c r="Y838" s="77"/>
      <c r="Z838" s="77" t="s">
        <v>497</v>
      </c>
      <c r="AA838" s="77"/>
      <c r="AB838" s="77"/>
      <c r="AC838" s="82" t="s">
        <v>2722</v>
      </c>
      <c r="AD838" s="77" t="s">
        <v>2752</v>
      </c>
      <c r="AE838" s="80" t="str">
        <f>HYPERLINK("https://twitter.com/moneymentorx/status/1703450086850560444")</f>
        <v>https://twitter.com/moneymentorx/status/1703450086850560444</v>
      </c>
      <c r="AF838" s="79">
        <v>45186.698182870372</v>
      </c>
      <c r="AG838" s="85">
        <v>45186</v>
      </c>
      <c r="AH838" s="82" t="s">
        <v>3581</v>
      </c>
      <c r="AI838" s="77" t="b">
        <v>0</v>
      </c>
      <c r="AJ838" s="77"/>
      <c r="AK838" s="77"/>
      <c r="AL838" s="77"/>
      <c r="AM838" s="77"/>
      <c r="AN838" s="77"/>
      <c r="AO838" s="77"/>
      <c r="AP838" s="77"/>
      <c r="AQ838" s="77"/>
      <c r="AR838" s="77"/>
      <c r="AS838" s="77"/>
      <c r="AT838" s="77"/>
      <c r="AU838" s="77"/>
      <c r="AV838" s="80" t="str">
        <f>HYPERLINK("https://pbs.twimg.com/profile_images/1698854829114691584/E-gHThCz_normal.jpg")</f>
        <v>https://pbs.twimg.com/profile_images/1698854829114691584/E-gHThCz_normal.jpg</v>
      </c>
      <c r="AW838" s="82" t="s">
        <v>5171</v>
      </c>
      <c r="AX838" s="82" t="s">
        <v>5171</v>
      </c>
      <c r="AY838" s="77"/>
      <c r="AZ838" s="82" t="s">
        <v>5615</v>
      </c>
      <c r="BA838" s="82" t="s">
        <v>5615</v>
      </c>
      <c r="BB838" s="82" t="s">
        <v>5615</v>
      </c>
      <c r="BC838" s="82" t="s">
        <v>5171</v>
      </c>
      <c r="BD838" s="77">
        <v>2223505314</v>
      </c>
      <c r="BE838" s="77"/>
      <c r="BF838" s="77"/>
      <c r="BG838" s="77"/>
      <c r="BH838" s="77"/>
      <c r="BI838" s="77"/>
    </row>
    <row r="839" spans="1:61" x14ac:dyDescent="0.25">
      <c r="A839" s="62" t="s">
        <v>498</v>
      </c>
      <c r="B839" s="62" t="s">
        <v>498</v>
      </c>
      <c r="C839" s="63"/>
      <c r="D839" s="64"/>
      <c r="E839" s="65"/>
      <c r="F839" s="66"/>
      <c r="G839" s="63"/>
      <c r="H839" s="67"/>
      <c r="I839" s="68"/>
      <c r="J839" s="68"/>
      <c r="K839" s="32"/>
      <c r="L839" s="75">
        <v>839</v>
      </c>
      <c r="M839" s="75"/>
      <c r="N839" s="70"/>
      <c r="O839" s="77" t="s">
        <v>179</v>
      </c>
      <c r="P839" s="79">
        <v>45174.811331018522</v>
      </c>
      <c r="Q839" s="77" t="s">
        <v>1388</v>
      </c>
      <c r="R839" s="77">
        <v>1</v>
      </c>
      <c r="S839" s="77">
        <v>3</v>
      </c>
      <c r="T839" s="77">
        <v>0</v>
      </c>
      <c r="U839" s="77">
        <v>0</v>
      </c>
      <c r="V839" s="77">
        <v>48</v>
      </c>
      <c r="W839" s="82" t="s">
        <v>1992</v>
      </c>
      <c r="X839" s="77"/>
      <c r="Y839" s="77"/>
      <c r="Z839" s="77"/>
      <c r="AA839" s="77" t="s">
        <v>2621</v>
      </c>
      <c r="AB839" s="77" t="s">
        <v>2713</v>
      </c>
      <c r="AC839" s="82" t="s">
        <v>2722</v>
      </c>
      <c r="AD839" s="77" t="s">
        <v>2752</v>
      </c>
      <c r="AE839" s="80" t="str">
        <f>HYPERLINK("https://twitter.com/jhonys_eth/status/1699142432871305312")</f>
        <v>https://twitter.com/jhonys_eth/status/1699142432871305312</v>
      </c>
      <c r="AF839" s="79">
        <v>45174.811331018522</v>
      </c>
      <c r="AG839" s="85">
        <v>45174</v>
      </c>
      <c r="AH839" s="82" t="s">
        <v>3582</v>
      </c>
      <c r="AI839" s="77" t="b">
        <v>0</v>
      </c>
      <c r="AJ839" s="77"/>
      <c r="AK839" s="77"/>
      <c r="AL839" s="77"/>
      <c r="AM839" s="77"/>
      <c r="AN839" s="77"/>
      <c r="AO839" s="77"/>
      <c r="AP839" s="77"/>
      <c r="AQ839" s="77" t="s">
        <v>4247</v>
      </c>
      <c r="AR839" s="77">
        <v>91869</v>
      </c>
      <c r="AS839" s="77"/>
      <c r="AT839" s="77"/>
      <c r="AU839" s="77"/>
      <c r="AV839" s="80" t="str">
        <f>HYPERLINK("https://pbs.twimg.com/ext_tw_video_thumb/1699141598557192193/pu/img/hirBC5DBsAOCV-HL.jpg")</f>
        <v>https://pbs.twimg.com/ext_tw_video_thumb/1699141598557192193/pu/img/hirBC5DBsAOCV-HL.jpg</v>
      </c>
      <c r="AW839" s="82" t="s">
        <v>5172</v>
      </c>
      <c r="AX839" s="82" t="s">
        <v>5172</v>
      </c>
      <c r="AY839" s="77"/>
      <c r="AZ839" s="82" t="s">
        <v>5615</v>
      </c>
      <c r="BA839" s="82" t="s">
        <v>5615</v>
      </c>
      <c r="BB839" s="82" t="s">
        <v>5615</v>
      </c>
      <c r="BC839" s="82" t="s">
        <v>5172</v>
      </c>
      <c r="BD839" s="82" t="s">
        <v>6054</v>
      </c>
      <c r="BE839" s="77"/>
      <c r="BF839" s="77"/>
      <c r="BG839" s="77"/>
      <c r="BH839" s="77"/>
      <c r="BI839" s="77"/>
    </row>
    <row r="840" spans="1:61" x14ac:dyDescent="0.25">
      <c r="A840" s="62" t="s">
        <v>499</v>
      </c>
      <c r="B840" s="62" t="s">
        <v>499</v>
      </c>
      <c r="C840" s="63"/>
      <c r="D840" s="64"/>
      <c r="E840" s="65"/>
      <c r="F840" s="66"/>
      <c r="G840" s="63"/>
      <c r="H840" s="67"/>
      <c r="I840" s="68"/>
      <c r="J840" s="68"/>
      <c r="K840" s="32"/>
      <c r="L840" s="75">
        <v>840</v>
      </c>
      <c r="M840" s="75"/>
      <c r="N840" s="70"/>
      <c r="O840" s="77" t="s">
        <v>179</v>
      </c>
      <c r="P840" s="79">
        <v>44980.767592592594</v>
      </c>
      <c r="Q840" s="77" t="s">
        <v>1389</v>
      </c>
      <c r="R840" s="77">
        <v>2</v>
      </c>
      <c r="S840" s="77">
        <v>11</v>
      </c>
      <c r="T840" s="77">
        <v>2</v>
      </c>
      <c r="U840" s="77">
        <v>0</v>
      </c>
      <c r="V840" s="77">
        <v>1287</v>
      </c>
      <c r="W840" s="82" t="s">
        <v>1993</v>
      </c>
      <c r="X840" s="77"/>
      <c r="Y840" s="77"/>
      <c r="Z840" s="77"/>
      <c r="AA840" s="77"/>
      <c r="AB840" s="77"/>
      <c r="AC840" s="82" t="s">
        <v>2720</v>
      </c>
      <c r="AD840" s="77" t="s">
        <v>2752</v>
      </c>
      <c r="AE840" s="80" t="str">
        <f>HYPERLINK("https://twitter.com/10milionaria/status/1628823336284192775")</f>
        <v>https://twitter.com/10milionaria/status/1628823336284192775</v>
      </c>
      <c r="AF840" s="79">
        <v>44980.767592592594</v>
      </c>
      <c r="AG840" s="85">
        <v>44980</v>
      </c>
      <c r="AH840" s="82" t="s">
        <v>3583</v>
      </c>
      <c r="AI840" s="77"/>
      <c r="AJ840" s="77"/>
      <c r="AK840" s="77"/>
      <c r="AL840" s="77"/>
      <c r="AM840" s="77"/>
      <c r="AN840" s="77"/>
      <c r="AO840" s="77"/>
      <c r="AP840" s="77"/>
      <c r="AQ840" s="77"/>
      <c r="AR840" s="77"/>
      <c r="AS840" s="77"/>
      <c r="AT840" s="77"/>
      <c r="AU840" s="77"/>
      <c r="AV840" s="80" t="str">
        <f>HYPERLINK("https://pbs.twimg.com/profile_images/1334797638563225601/0ExLcSUT_normal.jpg")</f>
        <v>https://pbs.twimg.com/profile_images/1334797638563225601/0ExLcSUT_normal.jpg</v>
      </c>
      <c r="AW840" s="82" t="s">
        <v>5173</v>
      </c>
      <c r="AX840" s="82" t="s">
        <v>5173</v>
      </c>
      <c r="AY840" s="77"/>
      <c r="AZ840" s="82" t="s">
        <v>5615</v>
      </c>
      <c r="BA840" s="82" t="s">
        <v>5615</v>
      </c>
      <c r="BB840" s="82" t="s">
        <v>5615</v>
      </c>
      <c r="BC840" s="82" t="s">
        <v>5173</v>
      </c>
      <c r="BD840" s="82" t="s">
        <v>6055</v>
      </c>
      <c r="BE840" s="77"/>
      <c r="BF840" s="77"/>
      <c r="BG840" s="77"/>
      <c r="BH840" s="77"/>
      <c r="BI840" s="77"/>
    </row>
    <row r="841" spans="1:61" x14ac:dyDescent="0.25">
      <c r="A841" s="62" t="s">
        <v>500</v>
      </c>
      <c r="B841" s="62" t="s">
        <v>576</v>
      </c>
      <c r="C841" s="63"/>
      <c r="D841" s="64"/>
      <c r="E841" s="65"/>
      <c r="F841" s="66"/>
      <c r="G841" s="63"/>
      <c r="H841" s="67"/>
      <c r="I841" s="68"/>
      <c r="J841" s="68"/>
      <c r="K841" s="32"/>
      <c r="L841" s="75">
        <v>841</v>
      </c>
      <c r="M841" s="75"/>
      <c r="N841" s="70"/>
      <c r="O841" s="77" t="s">
        <v>586</v>
      </c>
      <c r="P841" s="79">
        <v>45121.462071759262</v>
      </c>
      <c r="Q841" s="77" t="s">
        <v>1390</v>
      </c>
      <c r="R841" s="77">
        <v>0</v>
      </c>
      <c r="S841" s="77">
        <v>1</v>
      </c>
      <c r="T841" s="77">
        <v>2</v>
      </c>
      <c r="U841" s="77">
        <v>0</v>
      </c>
      <c r="V841" s="77">
        <v>20</v>
      </c>
      <c r="W841" s="82" t="s">
        <v>1994</v>
      </c>
      <c r="X841" s="77"/>
      <c r="Y841" s="77"/>
      <c r="Z841" s="77" t="s">
        <v>576</v>
      </c>
      <c r="AA841" s="77"/>
      <c r="AB841" s="77"/>
      <c r="AC841" s="82" t="s">
        <v>2722</v>
      </c>
      <c r="AD841" s="77" t="s">
        <v>2752</v>
      </c>
      <c r="AE841" s="80" t="str">
        <f>HYPERLINK("https://twitter.com/marcoskcond/status/1679809309255843840")</f>
        <v>https://twitter.com/marcoskcond/status/1679809309255843840</v>
      </c>
      <c r="AF841" s="79">
        <v>45121.462071759262</v>
      </c>
      <c r="AG841" s="85">
        <v>45121</v>
      </c>
      <c r="AH841" s="82" t="s">
        <v>3584</v>
      </c>
      <c r="AI841" s="77"/>
      <c r="AJ841" s="77"/>
      <c r="AK841" s="77"/>
      <c r="AL841" s="77"/>
      <c r="AM841" s="77"/>
      <c r="AN841" s="77"/>
      <c r="AO841" s="77"/>
      <c r="AP841" s="77"/>
      <c r="AQ841" s="77"/>
      <c r="AR841" s="77"/>
      <c r="AS841" s="77"/>
      <c r="AT841" s="77"/>
      <c r="AU841" s="77"/>
      <c r="AV841" s="80" t="str">
        <f>HYPERLINK("https://pbs.twimg.com/profile_images/1619306326881968133/YnQqqTlO_normal.jpg")</f>
        <v>https://pbs.twimg.com/profile_images/1619306326881968133/YnQqqTlO_normal.jpg</v>
      </c>
      <c r="AW841" s="82" t="s">
        <v>5174</v>
      </c>
      <c r="AX841" s="82" t="s">
        <v>5174</v>
      </c>
      <c r="AY841" s="77"/>
      <c r="AZ841" s="82" t="s">
        <v>5615</v>
      </c>
      <c r="BA841" s="82" t="s">
        <v>5615</v>
      </c>
      <c r="BB841" s="82" t="s">
        <v>5615</v>
      </c>
      <c r="BC841" s="82" t="s">
        <v>5174</v>
      </c>
      <c r="BD841" s="77">
        <v>184751660</v>
      </c>
      <c r="BE841" s="77"/>
      <c r="BF841" s="77"/>
      <c r="BG841" s="77"/>
      <c r="BH841" s="77"/>
      <c r="BI841" s="77"/>
    </row>
    <row r="842" spans="1:61" x14ac:dyDescent="0.25">
      <c r="A842" s="62" t="s">
        <v>501</v>
      </c>
      <c r="B842" s="62" t="s">
        <v>501</v>
      </c>
      <c r="C842" s="63"/>
      <c r="D842" s="64"/>
      <c r="E842" s="65"/>
      <c r="F842" s="66"/>
      <c r="G842" s="63"/>
      <c r="H842" s="67"/>
      <c r="I842" s="68"/>
      <c r="J842" s="68"/>
      <c r="K842" s="32"/>
      <c r="L842" s="75">
        <v>842</v>
      </c>
      <c r="M842" s="75"/>
      <c r="N842" s="70"/>
      <c r="O842" s="77" t="s">
        <v>583</v>
      </c>
      <c r="P842" s="79">
        <v>45083.548206018517</v>
      </c>
      <c r="Q842" s="77" t="s">
        <v>1391</v>
      </c>
      <c r="R842" s="77">
        <v>0</v>
      </c>
      <c r="S842" s="77">
        <v>0</v>
      </c>
      <c r="T842" s="77">
        <v>0</v>
      </c>
      <c r="U842" s="77">
        <v>0</v>
      </c>
      <c r="V842" s="77">
        <v>35</v>
      </c>
      <c r="W842" s="82" t="s">
        <v>1995</v>
      </c>
      <c r="X842" s="77"/>
      <c r="Y842" s="77"/>
      <c r="Z842" s="77"/>
      <c r="AA842" s="77"/>
      <c r="AB842" s="77"/>
      <c r="AC842" s="82" t="s">
        <v>2720</v>
      </c>
      <c r="AD842" s="77" t="s">
        <v>2752</v>
      </c>
      <c r="AE842" s="80" t="str">
        <f>HYPERLINK("https://twitter.com/francamarcos7/status/1666069785455599616")</f>
        <v>https://twitter.com/francamarcos7/status/1666069785455599616</v>
      </c>
      <c r="AF842" s="79">
        <v>45083.548206018517</v>
      </c>
      <c r="AG842" s="85">
        <v>45083</v>
      </c>
      <c r="AH842" s="82" t="s">
        <v>3585</v>
      </c>
      <c r="AI842" s="77"/>
      <c r="AJ842" s="77"/>
      <c r="AK842" s="77"/>
      <c r="AL842" s="77"/>
      <c r="AM842" s="77"/>
      <c r="AN842" s="77"/>
      <c r="AO842" s="77"/>
      <c r="AP842" s="77"/>
      <c r="AQ842" s="77"/>
      <c r="AR842" s="77"/>
      <c r="AS842" s="77"/>
      <c r="AT842" s="77"/>
      <c r="AU842" s="77"/>
      <c r="AV842" s="80" t="str">
        <f>HYPERLINK("https://pbs.twimg.com/profile_images/1694718903359090688/9lPJBK8u_normal.jpg")</f>
        <v>https://pbs.twimg.com/profile_images/1694718903359090688/9lPJBK8u_normal.jpg</v>
      </c>
      <c r="AW842" s="82" t="s">
        <v>5175</v>
      </c>
      <c r="AX842" s="82" t="s">
        <v>5549</v>
      </c>
      <c r="AY842" s="82" t="s">
        <v>5607</v>
      </c>
      <c r="AZ842" s="82" t="s">
        <v>5828</v>
      </c>
      <c r="BA842" s="82" t="s">
        <v>5615</v>
      </c>
      <c r="BB842" s="82" t="s">
        <v>5615</v>
      </c>
      <c r="BC842" s="82" t="s">
        <v>5828</v>
      </c>
      <c r="BD842" s="77">
        <v>106727036</v>
      </c>
      <c r="BE842" s="77"/>
      <c r="BF842" s="77"/>
      <c r="BG842" s="77"/>
      <c r="BH842" s="77"/>
      <c r="BI842" s="77"/>
    </row>
    <row r="843" spans="1:61" x14ac:dyDescent="0.25">
      <c r="A843" s="62" t="s">
        <v>502</v>
      </c>
      <c r="B843" s="62" t="s">
        <v>502</v>
      </c>
      <c r="C843" s="63"/>
      <c r="D843" s="64"/>
      <c r="E843" s="65"/>
      <c r="F843" s="66"/>
      <c r="G843" s="63"/>
      <c r="H843" s="67"/>
      <c r="I843" s="68"/>
      <c r="J843" s="68"/>
      <c r="K843" s="32"/>
      <c r="L843" s="75">
        <v>843</v>
      </c>
      <c r="M843" s="75"/>
      <c r="N843" s="70"/>
      <c r="O843" s="77" t="s">
        <v>179</v>
      </c>
      <c r="P843" s="79">
        <v>44933.015335648146</v>
      </c>
      <c r="Q843" s="77" t="s">
        <v>1392</v>
      </c>
      <c r="R843" s="77">
        <v>0</v>
      </c>
      <c r="S843" s="77">
        <v>0</v>
      </c>
      <c r="T843" s="77">
        <v>0</v>
      </c>
      <c r="U843" s="77">
        <v>0</v>
      </c>
      <c r="V843" s="77">
        <v>7</v>
      </c>
      <c r="W843" s="82" t="s">
        <v>1996</v>
      </c>
      <c r="X843" s="80" t="str">
        <f>HYPERLINK("https://www.instagram.com/reel/CnF_Moch52I/?igshid=MDJmNzVkMjY=")</f>
        <v>https://www.instagram.com/reel/CnF_Moch52I/?igshid=MDJmNzVkMjY=</v>
      </c>
      <c r="Y843" s="77" t="s">
        <v>2130</v>
      </c>
      <c r="Z843" s="77"/>
      <c r="AA843" s="77"/>
      <c r="AB843" s="77"/>
      <c r="AC843" s="82" t="s">
        <v>2719</v>
      </c>
      <c r="AD843" s="77" t="s">
        <v>2752</v>
      </c>
      <c r="AE843" s="80" t="str">
        <f>HYPERLINK("https://twitter.com/dawisonbarbosa/status/1611518499637035008")</f>
        <v>https://twitter.com/dawisonbarbosa/status/1611518499637035008</v>
      </c>
      <c r="AF843" s="79">
        <v>44933.015335648146</v>
      </c>
      <c r="AG843" s="85">
        <v>44933</v>
      </c>
      <c r="AH843" s="82" t="s">
        <v>3586</v>
      </c>
      <c r="AI843" s="77" t="b">
        <v>0</v>
      </c>
      <c r="AJ843" s="77"/>
      <c r="AK843" s="77"/>
      <c r="AL843" s="77"/>
      <c r="AM843" s="77"/>
      <c r="AN843" s="77"/>
      <c r="AO843" s="77"/>
      <c r="AP843" s="77"/>
      <c r="AQ843" s="77"/>
      <c r="AR843" s="77"/>
      <c r="AS843" s="77"/>
      <c r="AT843" s="77"/>
      <c r="AU843" s="77"/>
      <c r="AV843" s="80" t="str">
        <f>HYPERLINK("https://pbs.twimg.com/profile_images/1642523994317373442/nvqycXA5_normal.jpg")</f>
        <v>https://pbs.twimg.com/profile_images/1642523994317373442/nvqycXA5_normal.jpg</v>
      </c>
      <c r="AW843" s="82" t="s">
        <v>5176</v>
      </c>
      <c r="AX843" s="82" t="s">
        <v>5176</v>
      </c>
      <c r="AY843" s="77"/>
      <c r="AZ843" s="82" t="s">
        <v>5615</v>
      </c>
      <c r="BA843" s="82" t="s">
        <v>5615</v>
      </c>
      <c r="BB843" s="82" t="s">
        <v>5615</v>
      </c>
      <c r="BC843" s="82" t="s">
        <v>5176</v>
      </c>
      <c r="BD843" s="77">
        <v>338097482</v>
      </c>
      <c r="BE843" s="77"/>
      <c r="BF843" s="77"/>
      <c r="BG843" s="77"/>
      <c r="BH843" s="77"/>
      <c r="BI843" s="77"/>
    </row>
    <row r="844" spans="1:61" x14ac:dyDescent="0.25">
      <c r="A844" s="62" t="s">
        <v>502</v>
      </c>
      <c r="B844" s="62" t="s">
        <v>502</v>
      </c>
      <c r="C844" s="63"/>
      <c r="D844" s="64"/>
      <c r="E844" s="65"/>
      <c r="F844" s="66"/>
      <c r="G844" s="63"/>
      <c r="H844" s="67"/>
      <c r="I844" s="68"/>
      <c r="J844" s="68"/>
      <c r="K844" s="32"/>
      <c r="L844" s="75">
        <v>844</v>
      </c>
      <c r="M844" s="75"/>
      <c r="N844" s="70"/>
      <c r="O844" s="77" t="s">
        <v>179</v>
      </c>
      <c r="P844" s="79">
        <v>44931.666458333333</v>
      </c>
      <c r="Q844" s="77" t="s">
        <v>1393</v>
      </c>
      <c r="R844" s="77">
        <v>0</v>
      </c>
      <c r="S844" s="77">
        <v>0</v>
      </c>
      <c r="T844" s="77">
        <v>0</v>
      </c>
      <c r="U844" s="77">
        <v>0</v>
      </c>
      <c r="V844" s="77">
        <v>8</v>
      </c>
      <c r="W844" s="82" t="s">
        <v>1997</v>
      </c>
      <c r="X844" s="80" t="str">
        <f>HYPERLINK("https://www.instagram.com/reel/CnCgNZLhiCn/?igshid=MDJmNzVkMjY=")</f>
        <v>https://www.instagram.com/reel/CnCgNZLhiCn/?igshid=MDJmNzVkMjY=</v>
      </c>
      <c r="Y844" s="77" t="s">
        <v>2130</v>
      </c>
      <c r="Z844" s="77"/>
      <c r="AA844" s="77"/>
      <c r="AB844" s="77"/>
      <c r="AC844" s="82" t="s">
        <v>2719</v>
      </c>
      <c r="AD844" s="77" t="s">
        <v>2752</v>
      </c>
      <c r="AE844" s="80" t="str">
        <f>HYPERLINK("https://twitter.com/dawisonbarbosa/status/1611029680940847108")</f>
        <v>https://twitter.com/dawisonbarbosa/status/1611029680940847108</v>
      </c>
      <c r="AF844" s="79">
        <v>44931.666458333333</v>
      </c>
      <c r="AG844" s="85">
        <v>44931</v>
      </c>
      <c r="AH844" s="82" t="s">
        <v>3587</v>
      </c>
      <c r="AI844" s="77" t="b">
        <v>0</v>
      </c>
      <c r="AJ844" s="77"/>
      <c r="AK844" s="77"/>
      <c r="AL844" s="77"/>
      <c r="AM844" s="77"/>
      <c r="AN844" s="77"/>
      <c r="AO844" s="77"/>
      <c r="AP844" s="77"/>
      <c r="AQ844" s="77"/>
      <c r="AR844" s="77"/>
      <c r="AS844" s="77"/>
      <c r="AT844" s="77"/>
      <c r="AU844" s="77"/>
      <c r="AV844" s="80" t="str">
        <f>HYPERLINK("https://pbs.twimg.com/profile_images/1642523994317373442/nvqycXA5_normal.jpg")</f>
        <v>https://pbs.twimg.com/profile_images/1642523994317373442/nvqycXA5_normal.jpg</v>
      </c>
      <c r="AW844" s="82" t="s">
        <v>5177</v>
      </c>
      <c r="AX844" s="82" t="s">
        <v>5177</v>
      </c>
      <c r="AY844" s="77"/>
      <c r="AZ844" s="82" t="s">
        <v>5615</v>
      </c>
      <c r="BA844" s="82" t="s">
        <v>5615</v>
      </c>
      <c r="BB844" s="82" t="s">
        <v>5615</v>
      </c>
      <c r="BC844" s="82" t="s">
        <v>5177</v>
      </c>
      <c r="BD844" s="77">
        <v>338097482</v>
      </c>
      <c r="BE844" s="77"/>
      <c r="BF844" s="77"/>
      <c r="BG844" s="77"/>
      <c r="BH844" s="77"/>
      <c r="BI844" s="77"/>
    </row>
    <row r="845" spans="1:61" x14ac:dyDescent="0.25">
      <c r="A845" s="62" t="s">
        <v>502</v>
      </c>
      <c r="B845" s="62" t="s">
        <v>502</v>
      </c>
      <c r="C845" s="63"/>
      <c r="D845" s="64"/>
      <c r="E845" s="65"/>
      <c r="F845" s="66"/>
      <c r="G845" s="63"/>
      <c r="H845" s="67"/>
      <c r="I845" s="68"/>
      <c r="J845" s="68"/>
      <c r="K845" s="32"/>
      <c r="L845" s="75">
        <v>845</v>
      </c>
      <c r="M845" s="75"/>
      <c r="N845" s="70"/>
      <c r="O845" s="77" t="s">
        <v>179</v>
      </c>
      <c r="P845" s="79">
        <v>44928.944722222222</v>
      </c>
      <c r="Q845" s="77" t="s">
        <v>1394</v>
      </c>
      <c r="R845" s="77">
        <v>0</v>
      </c>
      <c r="S845" s="77">
        <v>0</v>
      </c>
      <c r="T845" s="77">
        <v>0</v>
      </c>
      <c r="U845" s="77">
        <v>0</v>
      </c>
      <c r="V845" s="77">
        <v>4</v>
      </c>
      <c r="W845" s="82" t="s">
        <v>1998</v>
      </c>
      <c r="X845" s="80" t="str">
        <f>HYPERLINK("https://www.instagram.com/reel/Cm7gL_shFlA/?igshid=MDJmNzVkMjY=")</f>
        <v>https://www.instagram.com/reel/Cm7gL_shFlA/?igshid=MDJmNzVkMjY=</v>
      </c>
      <c r="Y845" s="77" t="s">
        <v>2130</v>
      </c>
      <c r="Z845" s="77"/>
      <c r="AA845" s="77"/>
      <c r="AB845" s="77"/>
      <c r="AC845" s="82" t="s">
        <v>2719</v>
      </c>
      <c r="AD845" s="77" t="s">
        <v>2752</v>
      </c>
      <c r="AE845" s="80" t="str">
        <f>HYPERLINK("https://twitter.com/dawisonbarbosa/status/1610043358596014083")</f>
        <v>https://twitter.com/dawisonbarbosa/status/1610043358596014083</v>
      </c>
      <c r="AF845" s="79">
        <v>44928.944722222222</v>
      </c>
      <c r="AG845" s="85">
        <v>44928</v>
      </c>
      <c r="AH845" s="82" t="s">
        <v>3588</v>
      </c>
      <c r="AI845" s="77" t="b">
        <v>0</v>
      </c>
      <c r="AJ845" s="77"/>
      <c r="AK845" s="77"/>
      <c r="AL845" s="77"/>
      <c r="AM845" s="77"/>
      <c r="AN845" s="77"/>
      <c r="AO845" s="77"/>
      <c r="AP845" s="77"/>
      <c r="AQ845" s="77"/>
      <c r="AR845" s="77"/>
      <c r="AS845" s="77"/>
      <c r="AT845" s="77"/>
      <c r="AU845" s="77"/>
      <c r="AV845" s="80" t="str">
        <f>HYPERLINK("https://pbs.twimg.com/profile_images/1642523994317373442/nvqycXA5_normal.jpg")</f>
        <v>https://pbs.twimg.com/profile_images/1642523994317373442/nvqycXA5_normal.jpg</v>
      </c>
      <c r="AW845" s="82" t="s">
        <v>5178</v>
      </c>
      <c r="AX845" s="82" t="s">
        <v>5178</v>
      </c>
      <c r="AY845" s="77"/>
      <c r="AZ845" s="82" t="s">
        <v>5615</v>
      </c>
      <c r="BA845" s="82" t="s">
        <v>5615</v>
      </c>
      <c r="BB845" s="82" t="s">
        <v>5615</v>
      </c>
      <c r="BC845" s="82" t="s">
        <v>5178</v>
      </c>
      <c r="BD845" s="77">
        <v>338097482</v>
      </c>
      <c r="BE845" s="77"/>
      <c r="BF845" s="77"/>
      <c r="BG845" s="77"/>
      <c r="BH845" s="77"/>
      <c r="BI845" s="77"/>
    </row>
    <row r="846" spans="1:61" x14ac:dyDescent="0.25">
      <c r="A846" s="62" t="s">
        <v>502</v>
      </c>
      <c r="B846" s="62" t="s">
        <v>502</v>
      </c>
      <c r="C846" s="63"/>
      <c r="D846" s="64"/>
      <c r="E846" s="65"/>
      <c r="F846" s="66"/>
      <c r="G846" s="63"/>
      <c r="H846" s="67"/>
      <c r="I846" s="68"/>
      <c r="J846" s="68"/>
      <c r="K846" s="32"/>
      <c r="L846" s="75">
        <v>846</v>
      </c>
      <c r="M846" s="75"/>
      <c r="N846" s="70"/>
      <c r="O846" s="77" t="s">
        <v>179</v>
      </c>
      <c r="P846" s="79">
        <v>44944.424560185187</v>
      </c>
      <c r="Q846" s="77" t="s">
        <v>1395</v>
      </c>
      <c r="R846" s="77">
        <v>0</v>
      </c>
      <c r="S846" s="77">
        <v>1</v>
      </c>
      <c r="T846" s="77">
        <v>0</v>
      </c>
      <c r="U846" s="77">
        <v>0</v>
      </c>
      <c r="V846" s="77">
        <v>11</v>
      </c>
      <c r="W846" s="82" t="s">
        <v>1999</v>
      </c>
      <c r="X846" s="80" t="str">
        <f>HYPERLINK("https://www.instagram.com/reel/CniVYRrBIeu/?igshid=MDJmNzVkMjY=")</f>
        <v>https://www.instagram.com/reel/CniVYRrBIeu/?igshid=MDJmNzVkMjY=</v>
      </c>
      <c r="Y846" s="77" t="s">
        <v>2130</v>
      </c>
      <c r="Z846" s="77"/>
      <c r="AA846" s="77"/>
      <c r="AB846" s="77"/>
      <c r="AC846" s="82" t="s">
        <v>2719</v>
      </c>
      <c r="AD846" s="77" t="s">
        <v>2752</v>
      </c>
      <c r="AE846" s="80" t="str">
        <f>HYPERLINK("https://twitter.com/dawisonbarbosa/status/1615653063251091460")</f>
        <v>https://twitter.com/dawisonbarbosa/status/1615653063251091460</v>
      </c>
      <c r="AF846" s="79">
        <v>44944.424560185187</v>
      </c>
      <c r="AG846" s="85">
        <v>44944</v>
      </c>
      <c r="AH846" s="82" t="s">
        <v>3589</v>
      </c>
      <c r="AI846" s="77" t="b">
        <v>0</v>
      </c>
      <c r="AJ846" s="77"/>
      <c r="AK846" s="77"/>
      <c r="AL846" s="77"/>
      <c r="AM846" s="77"/>
      <c r="AN846" s="77"/>
      <c r="AO846" s="77"/>
      <c r="AP846" s="77"/>
      <c r="AQ846" s="77"/>
      <c r="AR846" s="77"/>
      <c r="AS846" s="77"/>
      <c r="AT846" s="77"/>
      <c r="AU846" s="77"/>
      <c r="AV846" s="80" t="str">
        <f>HYPERLINK("https://pbs.twimg.com/profile_images/1642523994317373442/nvqycXA5_normal.jpg")</f>
        <v>https://pbs.twimg.com/profile_images/1642523994317373442/nvqycXA5_normal.jpg</v>
      </c>
      <c r="AW846" s="82" t="s">
        <v>5179</v>
      </c>
      <c r="AX846" s="82" t="s">
        <v>5179</v>
      </c>
      <c r="AY846" s="77"/>
      <c r="AZ846" s="82" t="s">
        <v>5615</v>
      </c>
      <c r="BA846" s="82" t="s">
        <v>5615</v>
      </c>
      <c r="BB846" s="82" t="s">
        <v>5615</v>
      </c>
      <c r="BC846" s="82" t="s">
        <v>5179</v>
      </c>
      <c r="BD846" s="77">
        <v>338097482</v>
      </c>
      <c r="BE846" s="77"/>
      <c r="BF846" s="77"/>
      <c r="BG846" s="77"/>
      <c r="BH846" s="77"/>
      <c r="BI846" s="77"/>
    </row>
    <row r="847" spans="1:61" x14ac:dyDescent="0.25">
      <c r="A847" s="62" t="s">
        <v>502</v>
      </c>
      <c r="B847" s="62" t="s">
        <v>502</v>
      </c>
      <c r="C847" s="63"/>
      <c r="D847" s="64"/>
      <c r="E847" s="65"/>
      <c r="F847" s="66"/>
      <c r="G847" s="63"/>
      <c r="H847" s="67"/>
      <c r="I847" s="68"/>
      <c r="J847" s="68"/>
      <c r="K847" s="32"/>
      <c r="L847" s="75">
        <v>847</v>
      </c>
      <c r="M847" s="75"/>
      <c r="N847" s="70"/>
      <c r="O847" s="77" t="s">
        <v>179</v>
      </c>
      <c r="P847" s="79">
        <v>44947.008159722223</v>
      </c>
      <c r="Q847" s="77" t="s">
        <v>1396</v>
      </c>
      <c r="R847" s="77">
        <v>0</v>
      </c>
      <c r="S847" s="77">
        <v>0</v>
      </c>
      <c r="T847" s="77">
        <v>0</v>
      </c>
      <c r="U847" s="77">
        <v>0</v>
      </c>
      <c r="V847" s="77">
        <v>3</v>
      </c>
      <c r="W847" s="82" t="s">
        <v>2000</v>
      </c>
      <c r="X847" s="80" t="str">
        <f>HYPERLINK("https://www.instagram.com/reel/CnqBLCnhqLn/?igshid=MDJmNzVkMjY=")</f>
        <v>https://www.instagram.com/reel/CnqBLCnhqLn/?igshid=MDJmNzVkMjY=</v>
      </c>
      <c r="Y847" s="77" t="s">
        <v>2130</v>
      </c>
      <c r="Z847" s="77"/>
      <c r="AA847" s="77"/>
      <c r="AB847" s="77"/>
      <c r="AC847" s="82" t="s">
        <v>2719</v>
      </c>
      <c r="AD847" s="77" t="s">
        <v>2752</v>
      </c>
      <c r="AE847" s="80" t="str">
        <f>HYPERLINK("https://twitter.com/dawisonbarbosa/status/1616589328205086721")</f>
        <v>https://twitter.com/dawisonbarbosa/status/1616589328205086721</v>
      </c>
      <c r="AF847" s="79">
        <v>44947.008159722223</v>
      </c>
      <c r="AG847" s="85">
        <v>44947</v>
      </c>
      <c r="AH847" s="82" t="s">
        <v>3590</v>
      </c>
      <c r="AI847" s="77" t="b">
        <v>0</v>
      </c>
      <c r="AJ847" s="77"/>
      <c r="AK847" s="77"/>
      <c r="AL847" s="77"/>
      <c r="AM847" s="77"/>
      <c r="AN847" s="77"/>
      <c r="AO847" s="77"/>
      <c r="AP847" s="77"/>
      <c r="AQ847" s="77"/>
      <c r="AR847" s="77"/>
      <c r="AS847" s="77"/>
      <c r="AT847" s="77"/>
      <c r="AU847" s="77"/>
      <c r="AV847" s="80" t="str">
        <f>HYPERLINK("https://pbs.twimg.com/profile_images/1642523994317373442/nvqycXA5_normal.jpg")</f>
        <v>https://pbs.twimg.com/profile_images/1642523994317373442/nvqycXA5_normal.jpg</v>
      </c>
      <c r="AW847" s="82" t="s">
        <v>5180</v>
      </c>
      <c r="AX847" s="82" t="s">
        <v>5180</v>
      </c>
      <c r="AY847" s="77"/>
      <c r="AZ847" s="82" t="s">
        <v>5615</v>
      </c>
      <c r="BA847" s="82" t="s">
        <v>5615</v>
      </c>
      <c r="BB847" s="82" t="s">
        <v>5615</v>
      </c>
      <c r="BC847" s="82" t="s">
        <v>5180</v>
      </c>
      <c r="BD847" s="77">
        <v>338097482</v>
      </c>
      <c r="BE847" s="77"/>
      <c r="BF847" s="77"/>
      <c r="BG847" s="77"/>
      <c r="BH847" s="77"/>
      <c r="BI847" s="77"/>
    </row>
    <row r="848" spans="1:61" x14ac:dyDescent="0.25">
      <c r="A848" s="62" t="s">
        <v>503</v>
      </c>
      <c r="B848" s="62" t="s">
        <v>503</v>
      </c>
      <c r="C848" s="63"/>
      <c r="D848" s="64"/>
      <c r="E848" s="65"/>
      <c r="F848" s="66"/>
      <c r="G848" s="63"/>
      <c r="H848" s="67"/>
      <c r="I848" s="68"/>
      <c r="J848" s="68"/>
      <c r="K848" s="32"/>
      <c r="L848" s="75">
        <v>848</v>
      </c>
      <c r="M848" s="75"/>
      <c r="N848" s="70"/>
      <c r="O848" s="77" t="s">
        <v>179</v>
      </c>
      <c r="P848" s="79">
        <v>44963.936412037037</v>
      </c>
      <c r="Q848" s="77" t="s">
        <v>1397</v>
      </c>
      <c r="R848" s="77">
        <v>0</v>
      </c>
      <c r="S848" s="77">
        <v>0</v>
      </c>
      <c r="T848" s="77">
        <v>0</v>
      </c>
      <c r="U848" s="77">
        <v>0</v>
      </c>
      <c r="V848" s="77">
        <v>12</v>
      </c>
      <c r="W848" s="82" t="s">
        <v>2001</v>
      </c>
      <c r="X848" s="77"/>
      <c r="Y848" s="77"/>
      <c r="Z848" s="77"/>
      <c r="AA848" s="77" t="s">
        <v>2622</v>
      </c>
      <c r="AB848" s="77" t="s">
        <v>2714</v>
      </c>
      <c r="AC848" s="82" t="s">
        <v>2720</v>
      </c>
      <c r="AD848" s="77" t="s">
        <v>2752</v>
      </c>
      <c r="AE848" s="80" t="str">
        <f>HYPERLINK("https://twitter.com/beltrameotavio/status/1622723922201399297")</f>
        <v>https://twitter.com/beltrameotavio/status/1622723922201399297</v>
      </c>
      <c r="AF848" s="79">
        <v>44963.936412037037</v>
      </c>
      <c r="AG848" s="85">
        <v>44963</v>
      </c>
      <c r="AH848" s="82" t="s">
        <v>3591</v>
      </c>
      <c r="AI848" s="77" t="b">
        <v>0</v>
      </c>
      <c r="AJ848" s="77"/>
      <c r="AK848" s="77"/>
      <c r="AL848" s="77"/>
      <c r="AM848" s="77"/>
      <c r="AN848" s="77"/>
      <c r="AO848" s="77"/>
      <c r="AP848" s="77"/>
      <c r="AQ848" s="77" t="s">
        <v>4248</v>
      </c>
      <c r="AR848" s="77"/>
      <c r="AS848" s="77"/>
      <c r="AT848" s="77"/>
      <c r="AU848" s="77"/>
      <c r="AV848" s="80" t="str">
        <f>HYPERLINK("https://pbs.twimg.com/media/FoUSzjgXwAEMCMg.jpg")</f>
        <v>https://pbs.twimg.com/media/FoUSzjgXwAEMCMg.jpg</v>
      </c>
      <c r="AW848" s="82" t="s">
        <v>5181</v>
      </c>
      <c r="AX848" s="82" t="s">
        <v>5181</v>
      </c>
      <c r="AY848" s="77"/>
      <c r="AZ848" s="82" t="s">
        <v>5615</v>
      </c>
      <c r="BA848" s="82" t="s">
        <v>5615</v>
      </c>
      <c r="BB848" s="82" t="s">
        <v>5615</v>
      </c>
      <c r="BC848" s="82" t="s">
        <v>5181</v>
      </c>
      <c r="BD848" s="82" t="s">
        <v>6056</v>
      </c>
      <c r="BE848" s="77"/>
      <c r="BF848" s="77"/>
      <c r="BG848" s="77"/>
      <c r="BH848" s="77"/>
      <c r="BI848" s="77"/>
    </row>
    <row r="849" spans="1:61" x14ac:dyDescent="0.25">
      <c r="A849" s="62" t="s">
        <v>503</v>
      </c>
      <c r="B849" s="62" t="s">
        <v>503</v>
      </c>
      <c r="C849" s="63"/>
      <c r="D849" s="64"/>
      <c r="E849" s="65"/>
      <c r="F849" s="66"/>
      <c r="G849" s="63"/>
      <c r="H849" s="67"/>
      <c r="I849" s="68"/>
      <c r="J849" s="68"/>
      <c r="K849" s="32"/>
      <c r="L849" s="75">
        <v>849</v>
      </c>
      <c r="M849" s="75"/>
      <c r="N849" s="70"/>
      <c r="O849" s="77" t="s">
        <v>179</v>
      </c>
      <c r="P849" s="79">
        <v>44983.003125000003</v>
      </c>
      <c r="Q849" s="77" t="s">
        <v>1398</v>
      </c>
      <c r="R849" s="77">
        <v>0</v>
      </c>
      <c r="S849" s="77">
        <v>0</v>
      </c>
      <c r="T849" s="77">
        <v>0</v>
      </c>
      <c r="U849" s="77">
        <v>0</v>
      </c>
      <c r="V849" s="77">
        <v>11</v>
      </c>
      <c r="W849" s="82" t="s">
        <v>2002</v>
      </c>
      <c r="X849" s="77"/>
      <c r="Y849" s="77"/>
      <c r="Z849" s="77"/>
      <c r="AA849" s="77"/>
      <c r="AB849" s="77"/>
      <c r="AC849" s="82" t="s">
        <v>2720</v>
      </c>
      <c r="AD849" s="77" t="s">
        <v>2752</v>
      </c>
      <c r="AE849" s="80" t="str">
        <f>HYPERLINK("https://twitter.com/beltrameotavio/status/1629633467154571266")</f>
        <v>https://twitter.com/beltrameotavio/status/1629633467154571266</v>
      </c>
      <c r="AF849" s="79">
        <v>44983.003125000003</v>
      </c>
      <c r="AG849" s="85">
        <v>44983</v>
      </c>
      <c r="AH849" s="82" t="s">
        <v>3592</v>
      </c>
      <c r="AI849" s="77"/>
      <c r="AJ849" s="77"/>
      <c r="AK849" s="77"/>
      <c r="AL849" s="77"/>
      <c r="AM849" s="77"/>
      <c r="AN849" s="77"/>
      <c r="AO849" s="77"/>
      <c r="AP849" s="77"/>
      <c r="AQ849" s="77"/>
      <c r="AR849" s="77"/>
      <c r="AS849" s="77"/>
      <c r="AT849" s="77"/>
      <c r="AU849" s="77"/>
      <c r="AV849" s="80" t="str">
        <f>HYPERLINK("https://pbs.twimg.com/profile_images/1598823224434884615/lhIKa3T__normal.jpg")</f>
        <v>https://pbs.twimg.com/profile_images/1598823224434884615/lhIKa3T__normal.jpg</v>
      </c>
      <c r="AW849" s="82" t="s">
        <v>5182</v>
      </c>
      <c r="AX849" s="82" t="s">
        <v>5182</v>
      </c>
      <c r="AY849" s="77"/>
      <c r="AZ849" s="82" t="s">
        <v>5615</v>
      </c>
      <c r="BA849" s="82" t="s">
        <v>5615</v>
      </c>
      <c r="BB849" s="82" t="s">
        <v>5615</v>
      </c>
      <c r="BC849" s="82" t="s">
        <v>5182</v>
      </c>
      <c r="BD849" s="82" t="s">
        <v>6056</v>
      </c>
      <c r="BE849" s="77"/>
      <c r="BF849" s="77"/>
      <c r="BG849" s="77"/>
      <c r="BH849" s="77"/>
      <c r="BI849" s="77"/>
    </row>
    <row r="850" spans="1:61" x14ac:dyDescent="0.25">
      <c r="A850" s="62" t="s">
        <v>503</v>
      </c>
      <c r="B850" s="62" t="s">
        <v>503</v>
      </c>
      <c r="C850" s="63"/>
      <c r="D850" s="64"/>
      <c r="E850" s="65"/>
      <c r="F850" s="66"/>
      <c r="G850" s="63"/>
      <c r="H850" s="67"/>
      <c r="I850" s="68"/>
      <c r="J850" s="68"/>
      <c r="K850" s="32"/>
      <c r="L850" s="75">
        <v>850</v>
      </c>
      <c r="M850" s="75"/>
      <c r="N850" s="70"/>
      <c r="O850" s="77" t="s">
        <v>179</v>
      </c>
      <c r="P850" s="79">
        <v>45013.090729166666</v>
      </c>
      <c r="Q850" s="77" t="s">
        <v>1399</v>
      </c>
      <c r="R850" s="77">
        <v>0</v>
      </c>
      <c r="S850" s="77">
        <v>0</v>
      </c>
      <c r="T850" s="77">
        <v>0</v>
      </c>
      <c r="U850" s="77">
        <v>0</v>
      </c>
      <c r="V850" s="77">
        <v>7</v>
      </c>
      <c r="W850" s="82" t="s">
        <v>2003</v>
      </c>
      <c r="X850" s="77"/>
      <c r="Y850" s="77"/>
      <c r="Z850" s="77"/>
      <c r="AA850" s="77"/>
      <c r="AB850" s="77"/>
      <c r="AC850" s="82" t="s">
        <v>2720</v>
      </c>
      <c r="AD850" s="77" t="s">
        <v>2752</v>
      </c>
      <c r="AE850" s="80" t="str">
        <f>HYPERLINK("https://twitter.com/beltrameotavio/status/1640536851269255168")</f>
        <v>https://twitter.com/beltrameotavio/status/1640536851269255168</v>
      </c>
      <c r="AF850" s="79">
        <v>45013.090729166666</v>
      </c>
      <c r="AG850" s="85">
        <v>45013</v>
      </c>
      <c r="AH850" s="82" t="s">
        <v>3593</v>
      </c>
      <c r="AI850" s="77"/>
      <c r="AJ850" s="77"/>
      <c r="AK850" s="77"/>
      <c r="AL850" s="77"/>
      <c r="AM850" s="77"/>
      <c r="AN850" s="77"/>
      <c r="AO850" s="77"/>
      <c r="AP850" s="77"/>
      <c r="AQ850" s="77"/>
      <c r="AR850" s="77"/>
      <c r="AS850" s="77"/>
      <c r="AT850" s="77"/>
      <c r="AU850" s="77"/>
      <c r="AV850" s="80" t="str">
        <f>HYPERLINK("https://pbs.twimg.com/profile_images/1598823224434884615/lhIKa3T__normal.jpg")</f>
        <v>https://pbs.twimg.com/profile_images/1598823224434884615/lhIKa3T__normal.jpg</v>
      </c>
      <c r="AW850" s="82" t="s">
        <v>5183</v>
      </c>
      <c r="AX850" s="82" t="s">
        <v>5183</v>
      </c>
      <c r="AY850" s="77"/>
      <c r="AZ850" s="82" t="s">
        <v>5615</v>
      </c>
      <c r="BA850" s="82" t="s">
        <v>5615</v>
      </c>
      <c r="BB850" s="82" t="s">
        <v>5615</v>
      </c>
      <c r="BC850" s="82" t="s">
        <v>5183</v>
      </c>
      <c r="BD850" s="82" t="s">
        <v>6056</v>
      </c>
      <c r="BE850" s="77"/>
      <c r="BF850" s="77"/>
      <c r="BG850" s="77"/>
      <c r="BH850" s="77"/>
      <c r="BI850" s="77"/>
    </row>
    <row r="851" spans="1:61" x14ac:dyDescent="0.25">
      <c r="A851" s="62" t="s">
        <v>504</v>
      </c>
      <c r="B851" s="62" t="s">
        <v>504</v>
      </c>
      <c r="C851" s="63"/>
      <c r="D851" s="64"/>
      <c r="E851" s="65"/>
      <c r="F851" s="66"/>
      <c r="G851" s="63"/>
      <c r="H851" s="67"/>
      <c r="I851" s="68"/>
      <c r="J851" s="68"/>
      <c r="K851" s="32"/>
      <c r="L851" s="75">
        <v>851</v>
      </c>
      <c r="M851" s="75"/>
      <c r="N851" s="70"/>
      <c r="O851" s="77" t="s">
        <v>179</v>
      </c>
      <c r="P851" s="79">
        <v>45147.74318287037</v>
      </c>
      <c r="Q851" s="77" t="s">
        <v>1400</v>
      </c>
      <c r="R851" s="77">
        <v>0</v>
      </c>
      <c r="S851" s="77">
        <v>0</v>
      </c>
      <c r="T851" s="77">
        <v>0</v>
      </c>
      <c r="U851" s="77">
        <v>0</v>
      </c>
      <c r="V851" s="77">
        <v>33</v>
      </c>
      <c r="W851" s="82" t="s">
        <v>1606</v>
      </c>
      <c r="X851" s="77"/>
      <c r="Y851" s="77"/>
      <c r="Z851" s="77"/>
      <c r="AA851" s="77" t="s">
        <v>2623</v>
      </c>
      <c r="AB851" s="77" t="s">
        <v>2713</v>
      </c>
      <c r="AC851" s="82" t="s">
        <v>2719</v>
      </c>
      <c r="AD851" s="77" t="s">
        <v>2754</v>
      </c>
      <c r="AE851" s="80" t="str">
        <f>HYPERLINK("https://twitter.com/dracmatoke18647/status/1689333265276997632")</f>
        <v>https://twitter.com/dracmatoke18647/status/1689333265276997632</v>
      </c>
      <c r="AF851" s="79">
        <v>45147.74318287037</v>
      </c>
      <c r="AG851" s="85">
        <v>45147</v>
      </c>
      <c r="AH851" s="82" t="s">
        <v>3594</v>
      </c>
      <c r="AI851" s="77" t="b">
        <v>0</v>
      </c>
      <c r="AJ851" s="77"/>
      <c r="AK851" s="77"/>
      <c r="AL851" s="77"/>
      <c r="AM851" s="77"/>
      <c r="AN851" s="77"/>
      <c r="AO851" s="77"/>
      <c r="AP851" s="77"/>
      <c r="AQ851" s="77" t="s">
        <v>4249</v>
      </c>
      <c r="AR851" s="77">
        <v>20133</v>
      </c>
      <c r="AS851" s="77"/>
      <c r="AT851" s="77"/>
      <c r="AU851" s="77"/>
      <c r="AV851" s="80" t="str">
        <f>HYPERLINK("https://pbs.twimg.com/ext_tw_video_thumb/1689333199459991553/pu/img/oq_82XnsHoE3o7ML.jpg")</f>
        <v>https://pbs.twimg.com/ext_tw_video_thumb/1689333199459991553/pu/img/oq_82XnsHoE3o7ML.jpg</v>
      </c>
      <c r="AW851" s="82" t="s">
        <v>5184</v>
      </c>
      <c r="AX851" s="82" t="s">
        <v>5184</v>
      </c>
      <c r="AY851" s="77"/>
      <c r="AZ851" s="82" t="s">
        <v>5615</v>
      </c>
      <c r="BA851" s="82" t="s">
        <v>5615</v>
      </c>
      <c r="BB851" s="82" t="s">
        <v>5615</v>
      </c>
      <c r="BC851" s="82" t="s">
        <v>5184</v>
      </c>
      <c r="BD851" s="82" t="s">
        <v>6057</v>
      </c>
      <c r="BE851" s="77"/>
      <c r="BF851" s="77"/>
      <c r="BG851" s="77"/>
      <c r="BH851" s="77"/>
      <c r="BI851" s="77"/>
    </row>
    <row r="852" spans="1:61" x14ac:dyDescent="0.25">
      <c r="A852" s="62" t="s">
        <v>504</v>
      </c>
      <c r="B852" s="62" t="s">
        <v>504</v>
      </c>
      <c r="C852" s="63"/>
      <c r="D852" s="64"/>
      <c r="E852" s="65"/>
      <c r="F852" s="66"/>
      <c r="G852" s="63"/>
      <c r="H852" s="67"/>
      <c r="I852" s="68"/>
      <c r="J852" s="68"/>
      <c r="K852" s="32"/>
      <c r="L852" s="75">
        <v>852</v>
      </c>
      <c r="M852" s="75"/>
      <c r="N852" s="70"/>
      <c r="O852" s="77" t="s">
        <v>179</v>
      </c>
      <c r="P852" s="79">
        <v>45146.904687499999</v>
      </c>
      <c r="Q852" s="77" t="s">
        <v>1401</v>
      </c>
      <c r="R852" s="77">
        <v>0</v>
      </c>
      <c r="S852" s="77">
        <v>0</v>
      </c>
      <c r="T852" s="77">
        <v>0</v>
      </c>
      <c r="U852" s="77">
        <v>0</v>
      </c>
      <c r="V852" s="77">
        <v>34</v>
      </c>
      <c r="W852" s="82" t="s">
        <v>2004</v>
      </c>
      <c r="X852" s="77"/>
      <c r="Y852" s="77"/>
      <c r="Z852" s="77"/>
      <c r="AA852" s="77" t="s">
        <v>2624</v>
      </c>
      <c r="AB852" s="77" t="s">
        <v>2713</v>
      </c>
      <c r="AC852" s="82" t="s">
        <v>2719</v>
      </c>
      <c r="AD852" s="77" t="s">
        <v>2754</v>
      </c>
      <c r="AE852" s="80" t="str">
        <f>HYPERLINK("https://twitter.com/dracmatoke18647/status/1689029404502966273")</f>
        <v>https://twitter.com/dracmatoke18647/status/1689029404502966273</v>
      </c>
      <c r="AF852" s="79">
        <v>45146.904687499999</v>
      </c>
      <c r="AG852" s="85">
        <v>45146</v>
      </c>
      <c r="AH852" s="82" t="s">
        <v>3595</v>
      </c>
      <c r="AI852" s="77" t="b">
        <v>0</v>
      </c>
      <c r="AJ852" s="77"/>
      <c r="AK852" s="77"/>
      <c r="AL852" s="77"/>
      <c r="AM852" s="77"/>
      <c r="AN852" s="77"/>
      <c r="AO852" s="77"/>
      <c r="AP852" s="77"/>
      <c r="AQ852" s="77" t="s">
        <v>4250</v>
      </c>
      <c r="AR852" s="77">
        <v>5874</v>
      </c>
      <c r="AS852" s="77"/>
      <c r="AT852" s="77"/>
      <c r="AU852" s="77"/>
      <c r="AV852" s="80" t="str">
        <f>HYPERLINK("https://pbs.twimg.com/ext_tw_video_thumb/1689029363751141376/pu/img/kztSKsvfYcJacRxn.jpg")</f>
        <v>https://pbs.twimg.com/ext_tw_video_thumb/1689029363751141376/pu/img/kztSKsvfYcJacRxn.jpg</v>
      </c>
      <c r="AW852" s="82" t="s">
        <v>5185</v>
      </c>
      <c r="AX852" s="82" t="s">
        <v>5185</v>
      </c>
      <c r="AY852" s="77"/>
      <c r="AZ852" s="82" t="s">
        <v>5615</v>
      </c>
      <c r="BA852" s="82" t="s">
        <v>5615</v>
      </c>
      <c r="BB852" s="82" t="s">
        <v>5615</v>
      </c>
      <c r="BC852" s="82" t="s">
        <v>5185</v>
      </c>
      <c r="BD852" s="82" t="s">
        <v>6057</v>
      </c>
      <c r="BE852" s="77"/>
      <c r="BF852" s="77"/>
      <c r="BG852" s="77"/>
      <c r="BH852" s="77"/>
      <c r="BI852" s="77"/>
    </row>
    <row r="853" spans="1:61" x14ac:dyDescent="0.25">
      <c r="A853" s="62" t="s">
        <v>504</v>
      </c>
      <c r="B853" s="62" t="s">
        <v>504</v>
      </c>
      <c r="C853" s="63"/>
      <c r="D853" s="64"/>
      <c r="E853" s="65"/>
      <c r="F853" s="66"/>
      <c r="G853" s="63"/>
      <c r="H853" s="67"/>
      <c r="I853" s="68"/>
      <c r="J853" s="68"/>
      <c r="K853" s="32"/>
      <c r="L853" s="75">
        <v>853</v>
      </c>
      <c r="M853" s="75"/>
      <c r="N853" s="70"/>
      <c r="O853" s="77" t="s">
        <v>179</v>
      </c>
      <c r="P853" s="79">
        <v>45150.048298611109</v>
      </c>
      <c r="Q853" s="77" t="s">
        <v>1402</v>
      </c>
      <c r="R853" s="77">
        <v>0</v>
      </c>
      <c r="S853" s="77">
        <v>0</v>
      </c>
      <c r="T853" s="77">
        <v>0</v>
      </c>
      <c r="U853" s="77">
        <v>0</v>
      </c>
      <c r="V853" s="77">
        <v>21</v>
      </c>
      <c r="W853" s="82" t="s">
        <v>2005</v>
      </c>
      <c r="X853" s="77"/>
      <c r="Y853" s="77"/>
      <c r="Z853" s="77"/>
      <c r="AA853" s="77" t="s">
        <v>2625</v>
      </c>
      <c r="AB853" s="77" t="s">
        <v>2713</v>
      </c>
      <c r="AC853" s="82" t="s">
        <v>2719</v>
      </c>
      <c r="AD853" s="77" t="s">
        <v>2752</v>
      </c>
      <c r="AE853" s="80" t="str">
        <f>HYPERLINK("https://twitter.com/dracmatoke18647/status/1690168612647043072")</f>
        <v>https://twitter.com/dracmatoke18647/status/1690168612647043072</v>
      </c>
      <c r="AF853" s="79">
        <v>45150.048298611109</v>
      </c>
      <c r="AG853" s="85">
        <v>45150</v>
      </c>
      <c r="AH853" s="82" t="s">
        <v>3596</v>
      </c>
      <c r="AI853" s="77" t="b">
        <v>0</v>
      </c>
      <c r="AJ853" s="77"/>
      <c r="AK853" s="77"/>
      <c r="AL853" s="77"/>
      <c r="AM853" s="77"/>
      <c r="AN853" s="77"/>
      <c r="AO853" s="77"/>
      <c r="AP853" s="77"/>
      <c r="AQ853" s="77" t="s">
        <v>4251</v>
      </c>
      <c r="AR853" s="77">
        <v>22058</v>
      </c>
      <c r="AS853" s="77"/>
      <c r="AT853" s="77"/>
      <c r="AU853" s="77"/>
      <c r="AV853" s="80" t="str">
        <f>HYPERLINK("https://pbs.twimg.com/ext_tw_video_thumb/1690168519130828801/pu/img/HeNQV2hi_6qTL_ql.jpg")</f>
        <v>https://pbs.twimg.com/ext_tw_video_thumb/1690168519130828801/pu/img/HeNQV2hi_6qTL_ql.jpg</v>
      </c>
      <c r="AW853" s="82" t="s">
        <v>5186</v>
      </c>
      <c r="AX853" s="82" t="s">
        <v>5186</v>
      </c>
      <c r="AY853" s="77"/>
      <c r="AZ853" s="82" t="s">
        <v>5615</v>
      </c>
      <c r="BA853" s="82" t="s">
        <v>5615</v>
      </c>
      <c r="BB853" s="82" t="s">
        <v>5615</v>
      </c>
      <c r="BC853" s="82" t="s">
        <v>5186</v>
      </c>
      <c r="BD853" s="82" t="s">
        <v>6057</v>
      </c>
      <c r="BE853" s="77"/>
      <c r="BF853" s="77"/>
      <c r="BG853" s="77"/>
      <c r="BH853" s="77"/>
      <c r="BI853" s="77"/>
    </row>
    <row r="854" spans="1:61" x14ac:dyDescent="0.25">
      <c r="A854" s="62" t="s">
        <v>504</v>
      </c>
      <c r="B854" s="62" t="s">
        <v>504</v>
      </c>
      <c r="C854" s="63"/>
      <c r="D854" s="64"/>
      <c r="E854" s="65"/>
      <c r="F854" s="66"/>
      <c r="G854" s="63"/>
      <c r="H854" s="67"/>
      <c r="I854" s="68"/>
      <c r="J854" s="68"/>
      <c r="K854" s="32"/>
      <c r="L854" s="75">
        <v>854</v>
      </c>
      <c r="M854" s="75"/>
      <c r="N854" s="70"/>
      <c r="O854" s="77" t="s">
        <v>179</v>
      </c>
      <c r="P854" s="79">
        <v>45149.794236111113</v>
      </c>
      <c r="Q854" s="77" t="s">
        <v>1403</v>
      </c>
      <c r="R854" s="77">
        <v>0</v>
      </c>
      <c r="S854" s="77">
        <v>0</v>
      </c>
      <c r="T854" s="77">
        <v>0</v>
      </c>
      <c r="U854" s="77">
        <v>0</v>
      </c>
      <c r="V854" s="77">
        <v>22</v>
      </c>
      <c r="W854" s="82" t="s">
        <v>2004</v>
      </c>
      <c r="X854" s="77"/>
      <c r="Y854" s="77"/>
      <c r="Z854" s="77"/>
      <c r="AA854" s="77" t="s">
        <v>2626</v>
      </c>
      <c r="AB854" s="77" t="s">
        <v>2713</v>
      </c>
      <c r="AC854" s="82" t="s">
        <v>2719</v>
      </c>
      <c r="AD854" s="77" t="s">
        <v>2754</v>
      </c>
      <c r="AE854" s="80" t="str">
        <f>HYPERLINK("https://twitter.com/dracmatoke18647/status/1690076542871781376")</f>
        <v>https://twitter.com/dracmatoke18647/status/1690076542871781376</v>
      </c>
      <c r="AF854" s="79">
        <v>45149.794236111113</v>
      </c>
      <c r="AG854" s="85">
        <v>45149</v>
      </c>
      <c r="AH854" s="82" t="s">
        <v>3597</v>
      </c>
      <c r="AI854" s="77" t="b">
        <v>0</v>
      </c>
      <c r="AJ854" s="77"/>
      <c r="AK854" s="77"/>
      <c r="AL854" s="77"/>
      <c r="AM854" s="77"/>
      <c r="AN854" s="77"/>
      <c r="AO854" s="77"/>
      <c r="AP854" s="77"/>
      <c r="AQ854" s="77" t="s">
        <v>4252</v>
      </c>
      <c r="AR854" s="77">
        <v>12004</v>
      </c>
      <c r="AS854" s="77"/>
      <c r="AT854" s="77"/>
      <c r="AU854" s="77"/>
      <c r="AV854" s="80" t="str">
        <f>HYPERLINK("https://pbs.twimg.com/ext_tw_video_thumb/1690076494339448832/pu/img/h-eQ0rmDxkxwX-Al.jpg")</f>
        <v>https://pbs.twimg.com/ext_tw_video_thumb/1690076494339448832/pu/img/h-eQ0rmDxkxwX-Al.jpg</v>
      </c>
      <c r="AW854" s="82" t="s">
        <v>5187</v>
      </c>
      <c r="AX854" s="82" t="s">
        <v>5187</v>
      </c>
      <c r="AY854" s="77"/>
      <c r="AZ854" s="82" t="s">
        <v>5615</v>
      </c>
      <c r="BA854" s="82" t="s">
        <v>5615</v>
      </c>
      <c r="BB854" s="82" t="s">
        <v>5615</v>
      </c>
      <c r="BC854" s="82" t="s">
        <v>5187</v>
      </c>
      <c r="BD854" s="82" t="s">
        <v>6057</v>
      </c>
      <c r="BE854" s="77"/>
      <c r="BF854" s="77"/>
      <c r="BG854" s="77"/>
      <c r="BH854" s="77"/>
      <c r="BI854" s="77"/>
    </row>
    <row r="855" spans="1:61" x14ac:dyDescent="0.25">
      <c r="A855" s="62" t="s">
        <v>504</v>
      </c>
      <c r="B855" s="62" t="s">
        <v>504</v>
      </c>
      <c r="C855" s="63"/>
      <c r="D855" s="64"/>
      <c r="E855" s="65"/>
      <c r="F855" s="66"/>
      <c r="G855" s="63"/>
      <c r="H855" s="67"/>
      <c r="I855" s="68"/>
      <c r="J855" s="68"/>
      <c r="K855" s="32"/>
      <c r="L855" s="75">
        <v>855</v>
      </c>
      <c r="M855" s="75"/>
      <c r="N855" s="70"/>
      <c r="O855" s="77" t="s">
        <v>179</v>
      </c>
      <c r="P855" s="79">
        <v>45151.817870370367</v>
      </c>
      <c r="Q855" s="77" t="s">
        <v>1404</v>
      </c>
      <c r="R855" s="77">
        <v>0</v>
      </c>
      <c r="S855" s="77">
        <v>0</v>
      </c>
      <c r="T855" s="77">
        <v>0</v>
      </c>
      <c r="U855" s="77">
        <v>0</v>
      </c>
      <c r="V855" s="77">
        <v>13</v>
      </c>
      <c r="W855" s="82" t="s">
        <v>2004</v>
      </c>
      <c r="X855" s="77"/>
      <c r="Y855" s="77"/>
      <c r="Z855" s="77"/>
      <c r="AA855" s="77" t="s">
        <v>2627</v>
      </c>
      <c r="AB855" s="77" t="s">
        <v>2713</v>
      </c>
      <c r="AC855" s="82" t="s">
        <v>2719</v>
      </c>
      <c r="AD855" s="77" t="s">
        <v>2757</v>
      </c>
      <c r="AE855" s="80" t="str">
        <f>HYPERLINK("https://twitter.com/dracmatoke18647/status/1690809881912131584")</f>
        <v>https://twitter.com/dracmatoke18647/status/1690809881912131584</v>
      </c>
      <c r="AF855" s="79">
        <v>45151.817870370367</v>
      </c>
      <c r="AG855" s="85">
        <v>45151</v>
      </c>
      <c r="AH855" s="82" t="s">
        <v>3598</v>
      </c>
      <c r="AI855" s="77" t="b">
        <v>0</v>
      </c>
      <c r="AJ855" s="77"/>
      <c r="AK855" s="77"/>
      <c r="AL855" s="77"/>
      <c r="AM855" s="77"/>
      <c r="AN855" s="77"/>
      <c r="AO855" s="77"/>
      <c r="AP855" s="77"/>
      <c r="AQ855" s="77" t="s">
        <v>4253</v>
      </c>
      <c r="AR855" s="77">
        <v>12004</v>
      </c>
      <c r="AS855" s="77"/>
      <c r="AT855" s="77"/>
      <c r="AU855" s="77"/>
      <c r="AV855" s="80" t="str">
        <f>HYPERLINK("https://pbs.twimg.com/ext_tw_video_thumb/1690809842095607808/pu/img/iyEx8wLr-q3U0b9a.jpg")</f>
        <v>https://pbs.twimg.com/ext_tw_video_thumb/1690809842095607808/pu/img/iyEx8wLr-q3U0b9a.jpg</v>
      </c>
      <c r="AW855" s="82" t="s">
        <v>5188</v>
      </c>
      <c r="AX855" s="82" t="s">
        <v>5188</v>
      </c>
      <c r="AY855" s="77"/>
      <c r="AZ855" s="82" t="s">
        <v>5615</v>
      </c>
      <c r="BA855" s="82" t="s">
        <v>5615</v>
      </c>
      <c r="BB855" s="82" t="s">
        <v>5615</v>
      </c>
      <c r="BC855" s="82" t="s">
        <v>5188</v>
      </c>
      <c r="BD855" s="82" t="s">
        <v>6057</v>
      </c>
      <c r="BE855" s="77"/>
      <c r="BF855" s="77"/>
      <c r="BG855" s="77"/>
      <c r="BH855" s="77"/>
      <c r="BI855" s="77"/>
    </row>
    <row r="856" spans="1:61" x14ac:dyDescent="0.25">
      <c r="A856" s="62" t="s">
        <v>504</v>
      </c>
      <c r="B856" s="62" t="s">
        <v>504</v>
      </c>
      <c r="C856" s="63"/>
      <c r="D856" s="64"/>
      <c r="E856" s="65"/>
      <c r="F856" s="66"/>
      <c r="G856" s="63"/>
      <c r="H856" s="67"/>
      <c r="I856" s="68"/>
      <c r="J856" s="68"/>
      <c r="K856" s="32"/>
      <c r="L856" s="75">
        <v>856</v>
      </c>
      <c r="M856" s="75"/>
      <c r="N856" s="70"/>
      <c r="O856" s="77" t="s">
        <v>179</v>
      </c>
      <c r="P856" s="79">
        <v>45150.982523148145</v>
      </c>
      <c r="Q856" s="77" t="s">
        <v>1405</v>
      </c>
      <c r="R856" s="77">
        <v>0</v>
      </c>
      <c r="S856" s="77">
        <v>0</v>
      </c>
      <c r="T856" s="77">
        <v>0</v>
      </c>
      <c r="U856" s="77">
        <v>0</v>
      </c>
      <c r="V856" s="77">
        <v>18</v>
      </c>
      <c r="W856" s="82" t="s">
        <v>2006</v>
      </c>
      <c r="X856" s="77"/>
      <c r="Y856" s="77"/>
      <c r="Z856" s="77"/>
      <c r="AA856" s="77" t="s">
        <v>2628</v>
      </c>
      <c r="AB856" s="77" t="s">
        <v>2713</v>
      </c>
      <c r="AC856" s="82" t="s">
        <v>2719</v>
      </c>
      <c r="AD856" s="77" t="s">
        <v>2757</v>
      </c>
      <c r="AE856" s="80" t="str">
        <f>HYPERLINK("https://twitter.com/dracmatoke18647/status/1690507163611840512")</f>
        <v>https://twitter.com/dracmatoke18647/status/1690507163611840512</v>
      </c>
      <c r="AF856" s="79">
        <v>45150.982523148145</v>
      </c>
      <c r="AG856" s="85">
        <v>45150</v>
      </c>
      <c r="AH856" s="82" t="s">
        <v>3599</v>
      </c>
      <c r="AI856" s="77" t="b">
        <v>0</v>
      </c>
      <c r="AJ856" s="77"/>
      <c r="AK856" s="77"/>
      <c r="AL856" s="77"/>
      <c r="AM856" s="77"/>
      <c r="AN856" s="77"/>
      <c r="AO856" s="77"/>
      <c r="AP856" s="77"/>
      <c r="AQ856" s="77" t="s">
        <v>4254</v>
      </c>
      <c r="AR856" s="77">
        <v>23311</v>
      </c>
      <c r="AS856" s="77"/>
      <c r="AT856" s="77"/>
      <c r="AU856" s="77"/>
      <c r="AV856" s="80" t="str">
        <f>HYPERLINK("https://pbs.twimg.com/ext_tw_video_thumb/1690507093298610176/pu/img/vxZN55Vfpejme_B9.jpg")</f>
        <v>https://pbs.twimg.com/ext_tw_video_thumb/1690507093298610176/pu/img/vxZN55Vfpejme_B9.jpg</v>
      </c>
      <c r="AW856" s="82" t="s">
        <v>5189</v>
      </c>
      <c r="AX856" s="82" t="s">
        <v>5189</v>
      </c>
      <c r="AY856" s="77"/>
      <c r="AZ856" s="82" t="s">
        <v>5615</v>
      </c>
      <c r="BA856" s="82" t="s">
        <v>5615</v>
      </c>
      <c r="BB856" s="82" t="s">
        <v>5615</v>
      </c>
      <c r="BC856" s="82" t="s">
        <v>5189</v>
      </c>
      <c r="BD856" s="82" t="s">
        <v>6057</v>
      </c>
      <c r="BE856" s="77"/>
      <c r="BF856" s="77"/>
      <c r="BG856" s="77"/>
      <c r="BH856" s="77"/>
      <c r="BI856" s="77"/>
    </row>
    <row r="857" spans="1:61" x14ac:dyDescent="0.25">
      <c r="A857" s="62" t="s">
        <v>504</v>
      </c>
      <c r="B857" s="62" t="s">
        <v>504</v>
      </c>
      <c r="C857" s="63"/>
      <c r="D857" s="64"/>
      <c r="E857" s="65"/>
      <c r="F857" s="66"/>
      <c r="G857" s="63"/>
      <c r="H857" s="67"/>
      <c r="I857" s="68"/>
      <c r="J857" s="68"/>
      <c r="K857" s="32"/>
      <c r="L857" s="75">
        <v>857</v>
      </c>
      <c r="M857" s="75"/>
      <c r="N857" s="70"/>
      <c r="O857" s="77" t="s">
        <v>179</v>
      </c>
      <c r="P857" s="79">
        <v>45152.985729166663</v>
      </c>
      <c r="Q857" s="77" t="s">
        <v>1406</v>
      </c>
      <c r="R857" s="77">
        <v>0</v>
      </c>
      <c r="S857" s="77">
        <v>0</v>
      </c>
      <c r="T857" s="77">
        <v>0</v>
      </c>
      <c r="U857" s="77">
        <v>0</v>
      </c>
      <c r="V857" s="77">
        <v>18</v>
      </c>
      <c r="W857" s="82" t="s">
        <v>2007</v>
      </c>
      <c r="X857" s="77"/>
      <c r="Y857" s="77"/>
      <c r="Z857" s="77"/>
      <c r="AA857" s="77" t="s">
        <v>2629</v>
      </c>
      <c r="AB857" s="77" t="s">
        <v>2713</v>
      </c>
      <c r="AC857" s="82" t="s">
        <v>2719</v>
      </c>
      <c r="AD857" s="77" t="s">
        <v>2752</v>
      </c>
      <c r="AE857" s="80" t="str">
        <f>HYPERLINK("https://twitter.com/dracmatoke18647/status/1691233099516936193")</f>
        <v>https://twitter.com/dracmatoke18647/status/1691233099516936193</v>
      </c>
      <c r="AF857" s="79">
        <v>45152.985729166663</v>
      </c>
      <c r="AG857" s="85">
        <v>45152</v>
      </c>
      <c r="AH857" s="82" t="s">
        <v>3600</v>
      </c>
      <c r="AI857" s="77" t="b">
        <v>0</v>
      </c>
      <c r="AJ857" s="77"/>
      <c r="AK857" s="77"/>
      <c r="AL857" s="77"/>
      <c r="AM857" s="77"/>
      <c r="AN857" s="77"/>
      <c r="AO857" s="77"/>
      <c r="AP857" s="77"/>
      <c r="AQ857" s="77" t="s">
        <v>4255</v>
      </c>
      <c r="AR857" s="77">
        <v>3000</v>
      </c>
      <c r="AS857" s="77"/>
      <c r="AT857" s="77"/>
      <c r="AU857" s="77"/>
      <c r="AV857" s="80" t="str">
        <f>HYPERLINK("https://pbs.twimg.com/ext_tw_video_thumb/1691233079627571202/pu/img/KyPRseYRHFb_7qks.jpg")</f>
        <v>https://pbs.twimg.com/ext_tw_video_thumb/1691233079627571202/pu/img/KyPRseYRHFb_7qks.jpg</v>
      </c>
      <c r="AW857" s="82" t="s">
        <v>5190</v>
      </c>
      <c r="AX857" s="82" t="s">
        <v>5190</v>
      </c>
      <c r="AY857" s="77"/>
      <c r="AZ857" s="82" t="s">
        <v>5615</v>
      </c>
      <c r="BA857" s="82" t="s">
        <v>5615</v>
      </c>
      <c r="BB857" s="82" t="s">
        <v>5615</v>
      </c>
      <c r="BC857" s="82" t="s">
        <v>5190</v>
      </c>
      <c r="BD857" s="82" t="s">
        <v>6057</v>
      </c>
      <c r="BE857" s="77"/>
      <c r="BF857" s="77"/>
      <c r="BG857" s="77"/>
      <c r="BH857" s="77"/>
      <c r="BI857" s="77"/>
    </row>
    <row r="858" spans="1:61" x14ac:dyDescent="0.25">
      <c r="A858" s="62" t="s">
        <v>504</v>
      </c>
      <c r="B858" s="62" t="s">
        <v>504</v>
      </c>
      <c r="C858" s="63"/>
      <c r="D858" s="64"/>
      <c r="E858" s="65"/>
      <c r="F858" s="66"/>
      <c r="G858" s="63"/>
      <c r="H858" s="67"/>
      <c r="I858" s="68"/>
      <c r="J858" s="68"/>
      <c r="K858" s="32"/>
      <c r="L858" s="75">
        <v>858</v>
      </c>
      <c r="M858" s="75"/>
      <c r="N858" s="70"/>
      <c r="O858" s="77" t="s">
        <v>179</v>
      </c>
      <c r="P858" s="79">
        <v>45145.260636574072</v>
      </c>
      <c r="Q858" s="77" t="s">
        <v>1407</v>
      </c>
      <c r="R858" s="77">
        <v>0</v>
      </c>
      <c r="S858" s="77">
        <v>0</v>
      </c>
      <c r="T858" s="77">
        <v>0</v>
      </c>
      <c r="U858" s="77">
        <v>0</v>
      </c>
      <c r="V858" s="77">
        <v>46</v>
      </c>
      <c r="W858" s="82" t="s">
        <v>2008</v>
      </c>
      <c r="X858" s="80" t="str">
        <f>HYPERLINK("http://opensea.io")</f>
        <v>http://opensea.io</v>
      </c>
      <c r="Y858" s="77" t="s">
        <v>2166</v>
      </c>
      <c r="Z858" s="77"/>
      <c r="AA858" s="77" t="s">
        <v>2630</v>
      </c>
      <c r="AB858" s="77" t="s">
        <v>2713</v>
      </c>
      <c r="AC858" s="82" t="s">
        <v>2719</v>
      </c>
      <c r="AD858" s="77" t="s">
        <v>2758</v>
      </c>
      <c r="AE858" s="80" t="str">
        <f>HYPERLINK("https://twitter.com/dracmatoke18647/status/1688433621663727616")</f>
        <v>https://twitter.com/dracmatoke18647/status/1688433621663727616</v>
      </c>
      <c r="AF858" s="79">
        <v>45145.260636574072</v>
      </c>
      <c r="AG858" s="85">
        <v>45145</v>
      </c>
      <c r="AH858" s="82" t="s">
        <v>3601</v>
      </c>
      <c r="AI858" s="77" t="b">
        <v>0</v>
      </c>
      <c r="AJ858" s="77"/>
      <c r="AK858" s="77"/>
      <c r="AL858" s="77"/>
      <c r="AM858" s="77"/>
      <c r="AN858" s="77"/>
      <c r="AO858" s="77"/>
      <c r="AP858" s="77"/>
      <c r="AQ858" s="77" t="s">
        <v>4256</v>
      </c>
      <c r="AR858" s="77">
        <v>34085</v>
      </c>
      <c r="AS858" s="77"/>
      <c r="AT858" s="77"/>
      <c r="AU858" s="77"/>
      <c r="AV858" s="80" t="str">
        <f>HYPERLINK("https://pbs.twimg.com/ext_tw_video_thumb/1688433567062204416/pu/img/MjxAG55Lns4bMG2g.jpg")</f>
        <v>https://pbs.twimg.com/ext_tw_video_thumb/1688433567062204416/pu/img/MjxAG55Lns4bMG2g.jpg</v>
      </c>
      <c r="AW858" s="82" t="s">
        <v>5191</v>
      </c>
      <c r="AX858" s="82" t="s">
        <v>5191</v>
      </c>
      <c r="AY858" s="77"/>
      <c r="AZ858" s="82" t="s">
        <v>5615</v>
      </c>
      <c r="BA858" s="82" t="s">
        <v>5615</v>
      </c>
      <c r="BB858" s="82" t="s">
        <v>5615</v>
      </c>
      <c r="BC858" s="82" t="s">
        <v>5191</v>
      </c>
      <c r="BD858" s="82" t="s">
        <v>6057</v>
      </c>
      <c r="BE858" s="77"/>
      <c r="BF858" s="77"/>
      <c r="BG858" s="77"/>
      <c r="BH858" s="77"/>
      <c r="BI858" s="77"/>
    </row>
    <row r="859" spans="1:61" x14ac:dyDescent="0.25">
      <c r="A859" s="62" t="s">
        <v>505</v>
      </c>
      <c r="B859" s="62" t="s">
        <v>577</v>
      </c>
      <c r="C859" s="63"/>
      <c r="D859" s="64"/>
      <c r="E859" s="65"/>
      <c r="F859" s="66"/>
      <c r="G859" s="63"/>
      <c r="H859" s="67"/>
      <c r="I859" s="68"/>
      <c r="J859" s="68"/>
      <c r="K859" s="32"/>
      <c r="L859" s="75">
        <v>859</v>
      </c>
      <c r="M859" s="75"/>
      <c r="N859" s="70"/>
      <c r="O859" s="77" t="s">
        <v>583</v>
      </c>
      <c r="P859" s="79">
        <v>45025.768217592595</v>
      </c>
      <c r="Q859" s="77" t="s">
        <v>1408</v>
      </c>
      <c r="R859" s="77">
        <v>0</v>
      </c>
      <c r="S859" s="77">
        <v>1</v>
      </c>
      <c r="T859" s="77">
        <v>1</v>
      </c>
      <c r="U859" s="77">
        <v>0</v>
      </c>
      <c r="V859" s="77">
        <v>36</v>
      </c>
      <c r="W859" s="82" t="s">
        <v>2009</v>
      </c>
      <c r="X859" s="77"/>
      <c r="Y859" s="77"/>
      <c r="Z859" s="77" t="s">
        <v>577</v>
      </c>
      <c r="AA859" s="77"/>
      <c r="AB859" s="77"/>
      <c r="AC859" s="82" t="s">
        <v>2722</v>
      </c>
      <c r="AD859" s="77" t="s">
        <v>2752</v>
      </c>
      <c r="AE859" s="80" t="str">
        <f>HYPERLINK("https://twitter.com/dinheircripto/status/1645131017747931136")</f>
        <v>https://twitter.com/dinheircripto/status/1645131017747931136</v>
      </c>
      <c r="AF859" s="79">
        <v>45025.768217592595</v>
      </c>
      <c r="AG859" s="85">
        <v>45025</v>
      </c>
      <c r="AH859" s="82" t="s">
        <v>3602</v>
      </c>
      <c r="AI859" s="77"/>
      <c r="AJ859" s="77"/>
      <c r="AK859" s="77"/>
      <c r="AL859" s="77"/>
      <c r="AM859" s="77"/>
      <c r="AN859" s="77"/>
      <c r="AO859" s="77"/>
      <c r="AP859" s="77"/>
      <c r="AQ859" s="77"/>
      <c r="AR859" s="77"/>
      <c r="AS859" s="77"/>
      <c r="AT859" s="77"/>
      <c r="AU859" s="77"/>
      <c r="AV859" s="80" t="str">
        <f>HYPERLINK("https://pbs.twimg.com/profile_images/1634520187251589121/w8KZ2YMB_normal.jpg")</f>
        <v>https://pbs.twimg.com/profile_images/1634520187251589121/w8KZ2YMB_normal.jpg</v>
      </c>
      <c r="AW859" s="82" t="s">
        <v>5192</v>
      </c>
      <c r="AX859" s="82" t="s">
        <v>5550</v>
      </c>
      <c r="AY859" s="82" t="s">
        <v>5608</v>
      </c>
      <c r="AZ859" s="82" t="s">
        <v>5550</v>
      </c>
      <c r="BA859" s="82" t="s">
        <v>5615</v>
      </c>
      <c r="BB859" s="82" t="s">
        <v>5615</v>
      </c>
      <c r="BC859" s="82" t="s">
        <v>5550</v>
      </c>
      <c r="BD859" s="82" t="s">
        <v>6058</v>
      </c>
      <c r="BE859" s="77"/>
      <c r="BF859" s="77"/>
      <c r="BG859" s="77"/>
      <c r="BH859" s="77"/>
      <c r="BI859" s="77"/>
    </row>
    <row r="860" spans="1:61" x14ac:dyDescent="0.25">
      <c r="A860" s="62" t="s">
        <v>506</v>
      </c>
      <c r="B860" s="62" t="s">
        <v>506</v>
      </c>
      <c r="C860" s="63"/>
      <c r="D860" s="64"/>
      <c r="E860" s="65"/>
      <c r="F860" s="66"/>
      <c r="G860" s="63"/>
      <c r="H860" s="67"/>
      <c r="I860" s="68"/>
      <c r="J860" s="68"/>
      <c r="K860" s="32"/>
      <c r="L860" s="75">
        <v>860</v>
      </c>
      <c r="M860" s="75"/>
      <c r="N860" s="70"/>
      <c r="O860" s="77" t="s">
        <v>179</v>
      </c>
      <c r="P860" s="79">
        <v>45056.493055555555</v>
      </c>
      <c r="Q860" s="77" t="s">
        <v>1409</v>
      </c>
      <c r="R860" s="77">
        <v>811</v>
      </c>
      <c r="S860" s="77">
        <v>4280</v>
      </c>
      <c r="T860" s="77">
        <v>2545</v>
      </c>
      <c r="U860" s="77">
        <v>265</v>
      </c>
      <c r="V860" s="77">
        <v>224535</v>
      </c>
      <c r="W860" s="77"/>
      <c r="X860" s="80" t="str">
        <f>HYPERLINK("https://revistaoeste.com/politica/randolfe-rodrigues-associa-telegram-ao-nazismo/")</f>
        <v>https://revistaoeste.com/politica/randolfe-rodrigues-associa-telegram-ao-nazismo/</v>
      </c>
      <c r="Y860" s="77" t="s">
        <v>2167</v>
      </c>
      <c r="Z860" s="77"/>
      <c r="AA860" s="77"/>
      <c r="AB860" s="77"/>
      <c r="AC860" s="82" t="s">
        <v>2745</v>
      </c>
      <c r="AD860" s="77" t="s">
        <v>2752</v>
      </c>
      <c r="AE860" s="80" t="str">
        <f>HYPERLINK("https://twitter.com/revistaoeste/status/1656265328651825153")</f>
        <v>https://twitter.com/revistaoeste/status/1656265328651825153</v>
      </c>
      <c r="AF860" s="79">
        <v>45056.493055555555</v>
      </c>
      <c r="AG860" s="85">
        <v>45056</v>
      </c>
      <c r="AH860" s="82" t="s">
        <v>3603</v>
      </c>
      <c r="AI860" s="77" t="b">
        <v>0</v>
      </c>
      <c r="AJ860" s="77"/>
      <c r="AK860" s="77"/>
      <c r="AL860" s="77"/>
      <c r="AM860" s="77"/>
      <c r="AN860" s="77"/>
      <c r="AO860" s="77"/>
      <c r="AP860" s="77"/>
      <c r="AQ860" s="77"/>
      <c r="AR860" s="77"/>
      <c r="AS860" s="77"/>
      <c r="AT860" s="77"/>
      <c r="AU860" s="77"/>
      <c r="AV860" s="80" t="str">
        <f>HYPERLINK("https://pbs.twimg.com/profile_images/1384152837223903241/67NM0rtX_normal.jpg")</f>
        <v>https://pbs.twimg.com/profile_images/1384152837223903241/67NM0rtX_normal.jpg</v>
      </c>
      <c r="AW860" s="82" t="s">
        <v>5193</v>
      </c>
      <c r="AX860" s="82" t="s">
        <v>5193</v>
      </c>
      <c r="AY860" s="77"/>
      <c r="AZ860" s="82" t="s">
        <v>5615</v>
      </c>
      <c r="BA860" s="82" t="s">
        <v>5615</v>
      </c>
      <c r="BB860" s="82" t="s">
        <v>5615</v>
      </c>
      <c r="BC860" s="82" t="s">
        <v>5193</v>
      </c>
      <c r="BD860" s="82" t="s">
        <v>6059</v>
      </c>
      <c r="BE860" s="77"/>
      <c r="BF860" s="77"/>
      <c r="BG860" s="77"/>
      <c r="BH860" s="77"/>
      <c r="BI860" s="77"/>
    </row>
    <row r="861" spans="1:61" x14ac:dyDescent="0.25">
      <c r="A861" s="62" t="s">
        <v>507</v>
      </c>
      <c r="B861" s="62" t="s">
        <v>506</v>
      </c>
      <c r="C861" s="63"/>
      <c r="D861" s="64"/>
      <c r="E861" s="65"/>
      <c r="F861" s="66"/>
      <c r="G861" s="63"/>
      <c r="H861" s="67"/>
      <c r="I861" s="68"/>
      <c r="J861" s="68"/>
      <c r="K861" s="32"/>
      <c r="L861" s="75">
        <v>861</v>
      </c>
      <c r="M861" s="75"/>
      <c r="N861" s="70"/>
      <c r="O861" s="77" t="s">
        <v>585</v>
      </c>
      <c r="P861" s="79">
        <v>45056.828159722223</v>
      </c>
      <c r="Q861" s="77" t="s">
        <v>1410</v>
      </c>
      <c r="R861" s="77">
        <v>0</v>
      </c>
      <c r="S861" s="77">
        <v>0</v>
      </c>
      <c r="T861" s="77">
        <v>3</v>
      </c>
      <c r="U861" s="77">
        <v>0</v>
      </c>
      <c r="V861" s="77">
        <v>119</v>
      </c>
      <c r="W861" s="82" t="s">
        <v>2010</v>
      </c>
      <c r="X861" s="77"/>
      <c r="Y861" s="77"/>
      <c r="Z861" s="77"/>
      <c r="AA861" s="77"/>
      <c r="AB861" s="77"/>
      <c r="AC861" s="82" t="s">
        <v>2719</v>
      </c>
      <c r="AD861" s="77" t="s">
        <v>2756</v>
      </c>
      <c r="AE861" s="80" t="str">
        <f>HYPERLINK("https://twitter.com/marcoscleberc/status/1656386763395325953")</f>
        <v>https://twitter.com/marcoscleberc/status/1656386763395325953</v>
      </c>
      <c r="AF861" s="79">
        <v>45056.828159722223</v>
      </c>
      <c r="AG861" s="85">
        <v>45056</v>
      </c>
      <c r="AH861" s="82" t="s">
        <v>3604</v>
      </c>
      <c r="AI861" s="77"/>
      <c r="AJ861" s="77"/>
      <c r="AK861" s="77"/>
      <c r="AL861" s="77"/>
      <c r="AM861" s="77"/>
      <c r="AN861" s="77"/>
      <c r="AO861" s="77"/>
      <c r="AP861" s="77"/>
      <c r="AQ861" s="77"/>
      <c r="AR861" s="77"/>
      <c r="AS861" s="77"/>
      <c r="AT861" s="77"/>
      <c r="AU861" s="77"/>
      <c r="AV861" s="80" t="str">
        <f>HYPERLINK("https://pbs.twimg.com/profile_images/1615829050617995264/1VDz8hUY_normal.jpg")</f>
        <v>https://pbs.twimg.com/profile_images/1615829050617995264/1VDz8hUY_normal.jpg</v>
      </c>
      <c r="AW861" s="82" t="s">
        <v>5194</v>
      </c>
      <c r="AX861" s="82" t="s">
        <v>5194</v>
      </c>
      <c r="AY861" s="77"/>
      <c r="AZ861" s="82" t="s">
        <v>5615</v>
      </c>
      <c r="BA861" s="82" t="s">
        <v>5193</v>
      </c>
      <c r="BB861" s="82" t="s">
        <v>5615</v>
      </c>
      <c r="BC861" s="82" t="s">
        <v>5193</v>
      </c>
      <c r="BD861" s="77">
        <v>36052366</v>
      </c>
      <c r="BE861" s="77"/>
      <c r="BF861" s="77"/>
      <c r="BG861" s="77"/>
      <c r="BH861" s="77"/>
      <c r="BI861" s="77"/>
    </row>
    <row r="862" spans="1:61" x14ac:dyDescent="0.25">
      <c r="A862" s="62" t="s">
        <v>508</v>
      </c>
      <c r="B862" s="62" t="s">
        <v>508</v>
      </c>
      <c r="C862" s="63"/>
      <c r="D862" s="64"/>
      <c r="E862" s="65"/>
      <c r="F862" s="66"/>
      <c r="G862" s="63"/>
      <c r="H862" s="67"/>
      <c r="I862" s="68"/>
      <c r="J862" s="68"/>
      <c r="K862" s="32"/>
      <c r="L862" s="75">
        <v>862</v>
      </c>
      <c r="M862" s="75"/>
      <c r="N862" s="70"/>
      <c r="O862" s="77" t="s">
        <v>179</v>
      </c>
      <c r="P862" s="79">
        <v>44939.625740740739</v>
      </c>
      <c r="Q862" s="77" t="s">
        <v>1411</v>
      </c>
      <c r="R862" s="77">
        <v>0</v>
      </c>
      <c r="S862" s="77">
        <v>0</v>
      </c>
      <c r="T862" s="77">
        <v>1</v>
      </c>
      <c r="U862" s="77">
        <v>0</v>
      </c>
      <c r="V862" s="77">
        <v>22</v>
      </c>
      <c r="W862" s="82" t="s">
        <v>2011</v>
      </c>
      <c r="X862" s="80" t="str">
        <f>HYPERLINK("https://www.instagram.com/p/CnXA_DqOn2T/?igshid=YTgzYjQ4ZTY=")</f>
        <v>https://www.instagram.com/p/CnXA_DqOn2T/?igshid=YTgzYjQ4ZTY=</v>
      </c>
      <c r="Y862" s="77" t="s">
        <v>2130</v>
      </c>
      <c r="Z862" s="77"/>
      <c r="AA862" s="77"/>
      <c r="AB862" s="77"/>
      <c r="AC862" s="82" t="s">
        <v>2723</v>
      </c>
      <c r="AD862" s="77" t="s">
        <v>2752</v>
      </c>
      <c r="AE862" s="80" t="str">
        <f>HYPERLINK("https://twitter.com/micerchiari/status/1613914028597813248")</f>
        <v>https://twitter.com/micerchiari/status/1613914028597813248</v>
      </c>
      <c r="AF862" s="79">
        <v>44939.625740740739</v>
      </c>
      <c r="AG862" s="85">
        <v>44939</v>
      </c>
      <c r="AH862" s="82" t="s">
        <v>3605</v>
      </c>
      <c r="AI862" s="77" t="b">
        <v>0</v>
      </c>
      <c r="AJ862" s="77" t="s">
        <v>3748</v>
      </c>
      <c r="AK862" s="77" t="s">
        <v>3752</v>
      </c>
      <c r="AL862" s="77" t="s">
        <v>3755</v>
      </c>
      <c r="AM862" s="77" t="s">
        <v>3770</v>
      </c>
      <c r="AN862" s="77" t="s">
        <v>3788</v>
      </c>
      <c r="AO862" s="77" t="s">
        <v>3804</v>
      </c>
      <c r="AP862" s="77" t="s">
        <v>3808</v>
      </c>
      <c r="AQ862" s="77"/>
      <c r="AR862" s="77"/>
      <c r="AS862" s="77"/>
      <c r="AT862" s="77"/>
      <c r="AU862" s="77"/>
      <c r="AV862" s="80" t="str">
        <f>HYPERLINK("https://pbs.twimg.com/profile_images/1587939701658361857/J6hKrQhN_normal.jpg")</f>
        <v>https://pbs.twimg.com/profile_images/1587939701658361857/J6hKrQhN_normal.jpg</v>
      </c>
      <c r="AW862" s="82" t="s">
        <v>5195</v>
      </c>
      <c r="AX862" s="82" t="s">
        <v>5195</v>
      </c>
      <c r="AY862" s="77"/>
      <c r="AZ862" s="82" t="s">
        <v>5615</v>
      </c>
      <c r="BA862" s="82" t="s">
        <v>5615</v>
      </c>
      <c r="BB862" s="82" t="s">
        <v>5615</v>
      </c>
      <c r="BC862" s="82" t="s">
        <v>5195</v>
      </c>
      <c r="BD862" s="77">
        <v>1100961079</v>
      </c>
      <c r="BE862" s="77"/>
      <c r="BF862" s="77"/>
      <c r="BG862" s="77"/>
      <c r="BH862" s="77"/>
      <c r="BI862" s="77"/>
    </row>
    <row r="863" spans="1:61" x14ac:dyDescent="0.25">
      <c r="A863" s="62" t="s">
        <v>509</v>
      </c>
      <c r="B863" s="62" t="s">
        <v>578</v>
      </c>
      <c r="C863" s="63"/>
      <c r="D863" s="64"/>
      <c r="E863" s="65"/>
      <c r="F863" s="66"/>
      <c r="G863" s="63"/>
      <c r="H863" s="67"/>
      <c r="I863" s="68"/>
      <c r="J863" s="68"/>
      <c r="K863" s="32"/>
      <c r="L863" s="75">
        <v>863</v>
      </c>
      <c r="M863" s="75"/>
      <c r="N863" s="70"/>
      <c r="O863" s="77" t="s">
        <v>586</v>
      </c>
      <c r="P863" s="79">
        <v>45066.765497685185</v>
      </c>
      <c r="Q863" s="77" t="s">
        <v>1412</v>
      </c>
      <c r="R863" s="77">
        <v>0</v>
      </c>
      <c r="S863" s="77">
        <v>0</v>
      </c>
      <c r="T863" s="77">
        <v>0</v>
      </c>
      <c r="U863" s="77">
        <v>0</v>
      </c>
      <c r="V863" s="77">
        <v>16</v>
      </c>
      <c r="W863" s="82" t="s">
        <v>2012</v>
      </c>
      <c r="X863" s="77"/>
      <c r="Y863" s="77"/>
      <c r="Z863" s="77" t="s">
        <v>578</v>
      </c>
      <c r="AA863" s="77" t="s">
        <v>2631</v>
      </c>
      <c r="AB863" s="77" t="s">
        <v>2714</v>
      </c>
      <c r="AC863" s="82" t="s">
        <v>2722</v>
      </c>
      <c r="AD863" s="77" t="s">
        <v>2754</v>
      </c>
      <c r="AE863" s="80" t="str">
        <f>HYPERLINK("https://twitter.com/graphic_hood/status/1659987934848876544")</f>
        <v>https://twitter.com/graphic_hood/status/1659987934848876544</v>
      </c>
      <c r="AF863" s="79">
        <v>45066.765497685185</v>
      </c>
      <c r="AG863" s="85">
        <v>45066</v>
      </c>
      <c r="AH863" s="82" t="s">
        <v>3606</v>
      </c>
      <c r="AI863" s="77" t="b">
        <v>0</v>
      </c>
      <c r="AJ863" s="77"/>
      <c r="AK863" s="77"/>
      <c r="AL863" s="77"/>
      <c r="AM863" s="77"/>
      <c r="AN863" s="77"/>
      <c r="AO863" s="77"/>
      <c r="AP863" s="77"/>
      <c r="AQ863" s="77" t="s">
        <v>4257</v>
      </c>
      <c r="AR863" s="77"/>
      <c r="AS863" s="77"/>
      <c r="AT863" s="77"/>
      <c r="AU863" s="77"/>
      <c r="AV863" s="80" t="str">
        <f>HYPERLINK("https://pbs.twimg.com/media/Fwl1DWraYAA8jPE.jpg")</f>
        <v>https://pbs.twimg.com/media/Fwl1DWraYAA8jPE.jpg</v>
      </c>
      <c r="AW863" s="82" t="s">
        <v>5196</v>
      </c>
      <c r="AX863" s="82" t="s">
        <v>5196</v>
      </c>
      <c r="AY863" s="77"/>
      <c r="AZ863" s="82" t="s">
        <v>5615</v>
      </c>
      <c r="BA863" s="82" t="s">
        <v>5615</v>
      </c>
      <c r="BB863" s="82" t="s">
        <v>5615</v>
      </c>
      <c r="BC863" s="82" t="s">
        <v>5196</v>
      </c>
      <c r="BD863" s="82" t="s">
        <v>6060</v>
      </c>
      <c r="BE863" s="77"/>
      <c r="BF863" s="77"/>
      <c r="BG863" s="77"/>
      <c r="BH863" s="77"/>
      <c r="BI863" s="77"/>
    </row>
    <row r="864" spans="1:61" x14ac:dyDescent="0.25">
      <c r="A864" s="62" t="s">
        <v>510</v>
      </c>
      <c r="B864" s="62" t="s">
        <v>510</v>
      </c>
      <c r="C864" s="63"/>
      <c r="D864" s="64"/>
      <c r="E864" s="65"/>
      <c r="F864" s="66"/>
      <c r="G864" s="63"/>
      <c r="H864" s="67"/>
      <c r="I864" s="68"/>
      <c r="J864" s="68"/>
      <c r="K864" s="32"/>
      <c r="L864" s="75">
        <v>864</v>
      </c>
      <c r="M864" s="75"/>
      <c r="N864" s="70"/>
      <c r="O864" s="77" t="s">
        <v>179</v>
      </c>
      <c r="P864" s="79">
        <v>44945.660370370373</v>
      </c>
      <c r="Q864" s="77" t="s">
        <v>1413</v>
      </c>
      <c r="R864" s="77">
        <v>0</v>
      </c>
      <c r="S864" s="77">
        <v>0</v>
      </c>
      <c r="T864" s="77">
        <v>0</v>
      </c>
      <c r="U864" s="77">
        <v>0</v>
      </c>
      <c r="V864" s="77">
        <v>12</v>
      </c>
      <c r="W864" s="82" t="s">
        <v>2013</v>
      </c>
      <c r="X864" s="77"/>
      <c r="Y864" s="77"/>
      <c r="Z864" s="77"/>
      <c r="AA864" s="77"/>
      <c r="AB864" s="77"/>
      <c r="AC864" s="82" t="s">
        <v>2722</v>
      </c>
      <c r="AD864" s="77" t="s">
        <v>2754</v>
      </c>
      <c r="AE864" s="80" t="str">
        <f>HYPERLINK("https://twitter.com/maniam_podcast/status/1616100906973466627")</f>
        <v>https://twitter.com/maniam_podcast/status/1616100906973466627</v>
      </c>
      <c r="AF864" s="79">
        <v>44945.660370370373</v>
      </c>
      <c r="AG864" s="85">
        <v>44945</v>
      </c>
      <c r="AH864" s="82" t="s">
        <v>3607</v>
      </c>
      <c r="AI864" s="77"/>
      <c r="AJ864" s="77"/>
      <c r="AK864" s="77"/>
      <c r="AL864" s="77"/>
      <c r="AM864" s="77"/>
      <c r="AN864" s="77"/>
      <c r="AO864" s="77"/>
      <c r="AP864" s="77"/>
      <c r="AQ864" s="77"/>
      <c r="AR864" s="77"/>
      <c r="AS864" s="77"/>
      <c r="AT864" s="77"/>
      <c r="AU864" s="77"/>
      <c r="AV864" s="80" t="str">
        <f>HYPERLINK("https://pbs.twimg.com/profile_images/1649855069355909121/SaNTSIuQ_normal.jpg")</f>
        <v>https://pbs.twimg.com/profile_images/1649855069355909121/SaNTSIuQ_normal.jpg</v>
      </c>
      <c r="AW864" s="82" t="s">
        <v>5197</v>
      </c>
      <c r="AX864" s="82" t="s">
        <v>5197</v>
      </c>
      <c r="AY864" s="77"/>
      <c r="AZ864" s="82" t="s">
        <v>5615</v>
      </c>
      <c r="BA864" s="82" t="s">
        <v>5615</v>
      </c>
      <c r="BB864" s="82" t="s">
        <v>5615</v>
      </c>
      <c r="BC864" s="82" t="s">
        <v>5197</v>
      </c>
      <c r="BD864" s="82" t="s">
        <v>6061</v>
      </c>
      <c r="BE864" s="77"/>
      <c r="BF864" s="77"/>
      <c r="BG864" s="77"/>
      <c r="BH864" s="77"/>
      <c r="BI864" s="77"/>
    </row>
    <row r="865" spans="1:61" x14ac:dyDescent="0.25">
      <c r="A865" s="62" t="s">
        <v>510</v>
      </c>
      <c r="B865" s="62" t="s">
        <v>510</v>
      </c>
      <c r="C865" s="63"/>
      <c r="D865" s="64"/>
      <c r="E865" s="65"/>
      <c r="F865" s="66"/>
      <c r="G865" s="63"/>
      <c r="H865" s="67"/>
      <c r="I865" s="68"/>
      <c r="J865" s="68"/>
      <c r="K865" s="32"/>
      <c r="L865" s="75">
        <v>865</v>
      </c>
      <c r="M865" s="75"/>
      <c r="N865" s="70"/>
      <c r="O865" s="77" t="s">
        <v>179</v>
      </c>
      <c r="P865" s="79">
        <v>44945.658321759256</v>
      </c>
      <c r="Q865" s="77" t="s">
        <v>1414</v>
      </c>
      <c r="R865" s="77">
        <v>0</v>
      </c>
      <c r="S865" s="77">
        <v>0</v>
      </c>
      <c r="T865" s="77">
        <v>0</v>
      </c>
      <c r="U865" s="77">
        <v>0</v>
      </c>
      <c r="V865" s="77">
        <v>17</v>
      </c>
      <c r="W865" s="82" t="s">
        <v>2013</v>
      </c>
      <c r="X865" s="77"/>
      <c r="Y865" s="77"/>
      <c r="Z865" s="77"/>
      <c r="AA865" s="77"/>
      <c r="AB865" s="77"/>
      <c r="AC865" s="82" t="s">
        <v>2722</v>
      </c>
      <c r="AD865" s="77" t="s">
        <v>2752</v>
      </c>
      <c r="AE865" s="80" t="str">
        <f>HYPERLINK("https://twitter.com/maniam_podcast/status/1616100163470196736")</f>
        <v>https://twitter.com/maniam_podcast/status/1616100163470196736</v>
      </c>
      <c r="AF865" s="79">
        <v>44945.658321759256</v>
      </c>
      <c r="AG865" s="85">
        <v>44945</v>
      </c>
      <c r="AH865" s="82" t="s">
        <v>3608</v>
      </c>
      <c r="AI865" s="77"/>
      <c r="AJ865" s="77"/>
      <c r="AK865" s="77"/>
      <c r="AL865" s="77"/>
      <c r="AM865" s="77"/>
      <c r="AN865" s="77"/>
      <c r="AO865" s="77"/>
      <c r="AP865" s="77"/>
      <c r="AQ865" s="77"/>
      <c r="AR865" s="77"/>
      <c r="AS865" s="77"/>
      <c r="AT865" s="77"/>
      <c r="AU865" s="77"/>
      <c r="AV865" s="80" t="str">
        <f>HYPERLINK("https://pbs.twimg.com/profile_images/1649855069355909121/SaNTSIuQ_normal.jpg")</f>
        <v>https://pbs.twimg.com/profile_images/1649855069355909121/SaNTSIuQ_normal.jpg</v>
      </c>
      <c r="AW865" s="82" t="s">
        <v>5198</v>
      </c>
      <c r="AX865" s="82" t="s">
        <v>5198</v>
      </c>
      <c r="AY865" s="77"/>
      <c r="AZ865" s="82" t="s">
        <v>5615</v>
      </c>
      <c r="BA865" s="82" t="s">
        <v>5615</v>
      </c>
      <c r="BB865" s="82" t="s">
        <v>5615</v>
      </c>
      <c r="BC865" s="82" t="s">
        <v>5198</v>
      </c>
      <c r="BD865" s="82" t="s">
        <v>6061</v>
      </c>
      <c r="BE865" s="77"/>
      <c r="BF865" s="77"/>
      <c r="BG865" s="77"/>
      <c r="BH865" s="77"/>
      <c r="BI865" s="77"/>
    </row>
    <row r="866" spans="1:61" x14ac:dyDescent="0.25">
      <c r="A866" s="62" t="s">
        <v>511</v>
      </c>
      <c r="B866" s="62" t="s">
        <v>511</v>
      </c>
      <c r="C866" s="63"/>
      <c r="D866" s="64"/>
      <c r="E866" s="65"/>
      <c r="F866" s="66"/>
      <c r="G866" s="63"/>
      <c r="H866" s="67"/>
      <c r="I866" s="68"/>
      <c r="J866" s="68"/>
      <c r="K866" s="32"/>
      <c r="L866" s="75">
        <v>866</v>
      </c>
      <c r="M866" s="75"/>
      <c r="N866" s="70"/>
      <c r="O866" s="77" t="s">
        <v>179</v>
      </c>
      <c r="P866" s="79">
        <v>44964.993969907409</v>
      </c>
      <c r="Q866" s="77" t="s">
        <v>1415</v>
      </c>
      <c r="R866" s="77">
        <v>0</v>
      </c>
      <c r="S866" s="77">
        <v>0</v>
      </c>
      <c r="T866" s="77">
        <v>0</v>
      </c>
      <c r="U866" s="77">
        <v>0</v>
      </c>
      <c r="V866" s="77">
        <v>607</v>
      </c>
      <c r="W866" s="82" t="s">
        <v>2014</v>
      </c>
      <c r="X866" s="77"/>
      <c r="Y866" s="77"/>
      <c r="Z866" s="77"/>
      <c r="AA866" s="77" t="s">
        <v>2632</v>
      </c>
      <c r="AB866" s="77" t="s">
        <v>2713</v>
      </c>
      <c r="AC866" s="82" t="s">
        <v>2719</v>
      </c>
      <c r="AD866" s="77" t="s">
        <v>2752</v>
      </c>
      <c r="AE866" s="80" t="str">
        <f>HYPERLINK("https://twitter.com/aryannevictori5/status/1623107169703821315")</f>
        <v>https://twitter.com/aryannevictori5/status/1623107169703821315</v>
      </c>
      <c r="AF866" s="79">
        <v>44964.993969907409</v>
      </c>
      <c r="AG866" s="85">
        <v>44964</v>
      </c>
      <c r="AH866" s="82" t="s">
        <v>3609</v>
      </c>
      <c r="AI866" s="77" t="b">
        <v>0</v>
      </c>
      <c r="AJ866" s="77" t="s">
        <v>3749</v>
      </c>
      <c r="AK866" s="77" t="s">
        <v>3752</v>
      </c>
      <c r="AL866" s="77" t="s">
        <v>3755</v>
      </c>
      <c r="AM866" s="77" t="s">
        <v>3771</v>
      </c>
      <c r="AN866" s="77" t="s">
        <v>3789</v>
      </c>
      <c r="AO866" s="77" t="s">
        <v>3805</v>
      </c>
      <c r="AP866" s="77" t="s">
        <v>3808</v>
      </c>
      <c r="AQ866" s="77" t="s">
        <v>4258</v>
      </c>
      <c r="AR866" s="77">
        <v>14467</v>
      </c>
      <c r="AS866" s="77"/>
      <c r="AT866" s="77"/>
      <c r="AU866" s="77"/>
      <c r="AV866" s="80" t="str">
        <f>HYPERLINK("https://pbs.twimg.com/ext_tw_video_thumb/1623107146677121027/pu/img/0bHtmLqtIqFItbZx.jpg")</f>
        <v>https://pbs.twimg.com/ext_tw_video_thumb/1623107146677121027/pu/img/0bHtmLqtIqFItbZx.jpg</v>
      </c>
      <c r="AW866" s="82" t="s">
        <v>5199</v>
      </c>
      <c r="AX866" s="82" t="s">
        <v>5199</v>
      </c>
      <c r="AY866" s="77"/>
      <c r="AZ866" s="82" t="s">
        <v>5615</v>
      </c>
      <c r="BA866" s="82" t="s">
        <v>5615</v>
      </c>
      <c r="BB866" s="82" t="s">
        <v>5615</v>
      </c>
      <c r="BC866" s="82" t="s">
        <v>5199</v>
      </c>
      <c r="BD866" s="82" t="s">
        <v>6062</v>
      </c>
      <c r="BE866" s="77"/>
      <c r="BF866" s="77"/>
      <c r="BG866" s="77"/>
      <c r="BH866" s="77"/>
      <c r="BI866" s="77"/>
    </row>
    <row r="867" spans="1:61" x14ac:dyDescent="0.25">
      <c r="A867" s="62" t="s">
        <v>512</v>
      </c>
      <c r="B867" s="62" t="s">
        <v>512</v>
      </c>
      <c r="C867" s="63"/>
      <c r="D867" s="64"/>
      <c r="E867" s="65"/>
      <c r="F867" s="66"/>
      <c r="G867" s="63"/>
      <c r="H867" s="67"/>
      <c r="I867" s="68"/>
      <c r="J867" s="68"/>
      <c r="K867" s="32"/>
      <c r="L867" s="75">
        <v>867</v>
      </c>
      <c r="M867" s="75"/>
      <c r="N867" s="70"/>
      <c r="O867" s="77" t="s">
        <v>179</v>
      </c>
      <c r="P867" s="79">
        <v>44965.389675925922</v>
      </c>
      <c r="Q867" s="77" t="s">
        <v>1416</v>
      </c>
      <c r="R867" s="77">
        <v>0</v>
      </c>
      <c r="S867" s="77">
        <v>0</v>
      </c>
      <c r="T867" s="77">
        <v>0</v>
      </c>
      <c r="U867" s="77">
        <v>0</v>
      </c>
      <c r="V867" s="77">
        <v>20</v>
      </c>
      <c r="W867" s="82" t="s">
        <v>2015</v>
      </c>
      <c r="X867" s="80" t="str">
        <f>HYPERLINK("https://ift.tt/sA2pjc5")</f>
        <v>https://ift.tt/sA2pjc5</v>
      </c>
      <c r="Y867" s="77" t="s">
        <v>2168</v>
      </c>
      <c r="Z867" s="77"/>
      <c r="AA867" s="77"/>
      <c r="AB867" s="77"/>
      <c r="AC867" s="82" t="s">
        <v>2727</v>
      </c>
      <c r="AD867" s="77" t="s">
        <v>2752</v>
      </c>
      <c r="AE867" s="80" t="str">
        <f>HYPERLINK("https://twitter.com/bytresloucado/status/1623250568205504514")</f>
        <v>https://twitter.com/bytresloucado/status/1623250568205504514</v>
      </c>
      <c r="AF867" s="79">
        <v>44965.389675925922</v>
      </c>
      <c r="AG867" s="85">
        <v>44965</v>
      </c>
      <c r="AH867" s="82" t="s">
        <v>3610</v>
      </c>
      <c r="AI867" s="77" t="b">
        <v>0</v>
      </c>
      <c r="AJ867" s="77"/>
      <c r="AK867" s="77"/>
      <c r="AL867" s="77"/>
      <c r="AM867" s="77"/>
      <c r="AN867" s="77"/>
      <c r="AO867" s="77"/>
      <c r="AP867" s="77"/>
      <c r="AQ867" s="77"/>
      <c r="AR867" s="77"/>
      <c r="AS867" s="77"/>
      <c r="AT867" s="77"/>
      <c r="AU867" s="77"/>
      <c r="AV867" s="80" t="str">
        <f>HYPERLINK("https://pbs.twimg.com/profile_images/1479504305015205892/z9LtNU8X_normal.jpg")</f>
        <v>https://pbs.twimg.com/profile_images/1479504305015205892/z9LtNU8X_normal.jpg</v>
      </c>
      <c r="AW867" s="82" t="s">
        <v>5200</v>
      </c>
      <c r="AX867" s="82" t="s">
        <v>5200</v>
      </c>
      <c r="AY867" s="77"/>
      <c r="AZ867" s="82" t="s">
        <v>5615</v>
      </c>
      <c r="BA867" s="82" t="s">
        <v>5615</v>
      </c>
      <c r="BB867" s="82" t="s">
        <v>5615</v>
      </c>
      <c r="BC867" s="82" t="s">
        <v>5200</v>
      </c>
      <c r="BD867" s="82" t="s">
        <v>6063</v>
      </c>
      <c r="BE867" s="77"/>
      <c r="BF867" s="77"/>
      <c r="BG867" s="77"/>
      <c r="BH867" s="77"/>
      <c r="BI867" s="77"/>
    </row>
    <row r="868" spans="1:61" x14ac:dyDescent="0.25">
      <c r="A868" s="62" t="s">
        <v>513</v>
      </c>
      <c r="B868" s="62" t="s">
        <v>513</v>
      </c>
      <c r="C868" s="63"/>
      <c r="D868" s="64"/>
      <c r="E868" s="65"/>
      <c r="F868" s="66"/>
      <c r="G868" s="63"/>
      <c r="H868" s="67"/>
      <c r="I868" s="68"/>
      <c r="J868" s="68"/>
      <c r="K868" s="32"/>
      <c r="L868" s="75">
        <v>868</v>
      </c>
      <c r="M868" s="75"/>
      <c r="N868" s="70"/>
      <c r="O868" s="77" t="s">
        <v>179</v>
      </c>
      <c r="P868" s="79">
        <v>45035.180127314816</v>
      </c>
      <c r="Q868" s="77" t="s">
        <v>1417</v>
      </c>
      <c r="R868" s="77">
        <v>0</v>
      </c>
      <c r="S868" s="77">
        <v>0</v>
      </c>
      <c r="T868" s="77">
        <v>1</v>
      </c>
      <c r="U868" s="77">
        <v>0</v>
      </c>
      <c r="V868" s="77">
        <v>40</v>
      </c>
      <c r="W868" s="82" t="s">
        <v>2016</v>
      </c>
      <c r="X868" s="77"/>
      <c r="Y868" s="77"/>
      <c r="Z868" s="77"/>
      <c r="AA868" s="77" t="s">
        <v>2633</v>
      </c>
      <c r="AB868" s="77" t="s">
        <v>2715</v>
      </c>
      <c r="AC868" s="82" t="s">
        <v>2720</v>
      </c>
      <c r="AD868" s="77" t="s">
        <v>2752</v>
      </c>
      <c r="AE868" s="80" t="str">
        <f>HYPERLINK("https://twitter.com/afalcao93/status/1648541781804433409")</f>
        <v>https://twitter.com/afalcao93/status/1648541781804433409</v>
      </c>
      <c r="AF868" s="79">
        <v>45035.180127314816</v>
      </c>
      <c r="AG868" s="85">
        <v>45035</v>
      </c>
      <c r="AH868" s="82" t="s">
        <v>3611</v>
      </c>
      <c r="AI868" s="77" t="b">
        <v>0</v>
      </c>
      <c r="AJ868" s="77" t="s">
        <v>3750</v>
      </c>
      <c r="AK868" s="77" t="s">
        <v>3752</v>
      </c>
      <c r="AL868" s="77" t="s">
        <v>3755</v>
      </c>
      <c r="AM868" s="77" t="s">
        <v>3772</v>
      </c>
      <c r="AN868" s="77" t="s">
        <v>3790</v>
      </c>
      <c r="AO868" s="77" t="s">
        <v>3806</v>
      </c>
      <c r="AP868" s="77" t="s">
        <v>3808</v>
      </c>
      <c r="AQ868" s="77" t="s">
        <v>4259</v>
      </c>
      <c r="AR868" s="77"/>
      <c r="AS868" s="77"/>
      <c r="AT868" s="77"/>
      <c r="AU868" s="77"/>
      <c r="AV868" s="80" t="str">
        <f>HYPERLINK("https://pbs.twimg.com/media/FuDMAnPWIAA-N3j.jpg")</f>
        <v>https://pbs.twimg.com/media/FuDMAnPWIAA-N3j.jpg</v>
      </c>
      <c r="AW868" s="82" t="s">
        <v>5201</v>
      </c>
      <c r="AX868" s="82" t="s">
        <v>5201</v>
      </c>
      <c r="AY868" s="77"/>
      <c r="AZ868" s="82" t="s">
        <v>5615</v>
      </c>
      <c r="BA868" s="82" t="s">
        <v>5615</v>
      </c>
      <c r="BB868" s="82" t="s">
        <v>5615</v>
      </c>
      <c r="BC868" s="82" t="s">
        <v>5201</v>
      </c>
      <c r="BD868" s="77">
        <v>3394108533</v>
      </c>
      <c r="BE868" s="77"/>
      <c r="BF868" s="77"/>
      <c r="BG868" s="77"/>
      <c r="BH868" s="77"/>
      <c r="BI868" s="77"/>
    </row>
    <row r="869" spans="1:61" x14ac:dyDescent="0.25">
      <c r="A869" s="62" t="s">
        <v>514</v>
      </c>
      <c r="B869" s="62" t="s">
        <v>514</v>
      </c>
      <c r="C869" s="63"/>
      <c r="D869" s="64"/>
      <c r="E869" s="65"/>
      <c r="F869" s="66"/>
      <c r="G869" s="63"/>
      <c r="H869" s="67"/>
      <c r="I869" s="68"/>
      <c r="J869" s="68"/>
      <c r="K869" s="32"/>
      <c r="L869" s="75">
        <v>869</v>
      </c>
      <c r="M869" s="75"/>
      <c r="N869" s="70"/>
      <c r="O869" s="77" t="s">
        <v>179</v>
      </c>
      <c r="P869" s="79">
        <v>45051.433645833335</v>
      </c>
      <c r="Q869" s="77" t="s">
        <v>1418</v>
      </c>
      <c r="R869" s="77">
        <v>0</v>
      </c>
      <c r="S869" s="77">
        <v>1</v>
      </c>
      <c r="T869" s="77">
        <v>0</v>
      </c>
      <c r="U869" s="77">
        <v>0</v>
      </c>
      <c r="V869" s="77">
        <v>20</v>
      </c>
      <c r="W869" s="82" t="s">
        <v>2017</v>
      </c>
      <c r="X869" s="77"/>
      <c r="Y869" s="77"/>
      <c r="Z869" s="77"/>
      <c r="AA869" s="77" t="s">
        <v>2634</v>
      </c>
      <c r="AB869" s="77" t="s">
        <v>2717</v>
      </c>
      <c r="AC869" s="82" t="s">
        <v>2719</v>
      </c>
      <c r="AD869" s="77" t="s">
        <v>2752</v>
      </c>
      <c r="AE869" s="80" t="str">
        <f>HYPERLINK("https://twitter.com/rodzamppa/status/1654431860011814913")</f>
        <v>https://twitter.com/rodzamppa/status/1654431860011814913</v>
      </c>
      <c r="AF869" s="79">
        <v>45051.433645833335</v>
      </c>
      <c r="AG869" s="85">
        <v>45051</v>
      </c>
      <c r="AH869" s="82" t="s">
        <v>3612</v>
      </c>
      <c r="AI869" s="77" t="b">
        <v>0</v>
      </c>
      <c r="AJ869" s="77"/>
      <c r="AK869" s="77"/>
      <c r="AL869" s="77"/>
      <c r="AM869" s="77"/>
      <c r="AN869" s="77"/>
      <c r="AO869" s="77"/>
      <c r="AP869" s="77"/>
      <c r="AQ869" s="77" t="s">
        <v>4260</v>
      </c>
      <c r="AR869" s="77"/>
      <c r="AS869" s="77"/>
      <c r="AT869" s="77"/>
      <c r="AU869" s="77"/>
      <c r="AV869" s="80" t="str">
        <f>HYPERLINK("https://pbs.twimg.com/tweet_video_thumb/FvW4_TkWcAA25r-.jpg")</f>
        <v>https://pbs.twimg.com/tweet_video_thumb/FvW4_TkWcAA25r-.jpg</v>
      </c>
      <c r="AW869" s="82" t="s">
        <v>5202</v>
      </c>
      <c r="AX869" s="82" t="s">
        <v>5202</v>
      </c>
      <c r="AY869" s="77"/>
      <c r="AZ869" s="82" t="s">
        <v>5615</v>
      </c>
      <c r="BA869" s="82" t="s">
        <v>5615</v>
      </c>
      <c r="BB869" s="82" t="s">
        <v>5615</v>
      </c>
      <c r="BC869" s="82" t="s">
        <v>5202</v>
      </c>
      <c r="BD869" s="82" t="s">
        <v>6064</v>
      </c>
      <c r="BE869" s="77"/>
      <c r="BF869" s="77"/>
      <c r="BG869" s="77"/>
      <c r="BH869" s="77"/>
      <c r="BI869" s="77"/>
    </row>
    <row r="870" spans="1:61" x14ac:dyDescent="0.25">
      <c r="A870" s="62" t="s">
        <v>515</v>
      </c>
      <c r="B870" s="62" t="s">
        <v>515</v>
      </c>
      <c r="C870" s="63"/>
      <c r="D870" s="64"/>
      <c r="E870" s="65"/>
      <c r="F870" s="66"/>
      <c r="G870" s="63"/>
      <c r="H870" s="67"/>
      <c r="I870" s="68"/>
      <c r="J870" s="68"/>
      <c r="K870" s="32"/>
      <c r="L870" s="75">
        <v>870</v>
      </c>
      <c r="M870" s="75"/>
      <c r="N870" s="70"/>
      <c r="O870" s="77" t="s">
        <v>179</v>
      </c>
      <c r="P870" s="79">
        <v>45090.425023148149</v>
      </c>
      <c r="Q870" s="77" t="s">
        <v>1419</v>
      </c>
      <c r="R870" s="77">
        <v>0</v>
      </c>
      <c r="S870" s="77">
        <v>0</v>
      </c>
      <c r="T870" s="77">
        <v>0</v>
      </c>
      <c r="U870" s="77">
        <v>0</v>
      </c>
      <c r="V870" s="77">
        <v>4</v>
      </c>
      <c r="W870" s="82" t="s">
        <v>2018</v>
      </c>
      <c r="X870" s="77"/>
      <c r="Y870" s="77"/>
      <c r="Z870" s="77"/>
      <c r="AA870" s="77" t="s">
        <v>2635</v>
      </c>
      <c r="AB870" s="77" t="s">
        <v>2714</v>
      </c>
      <c r="AC870" s="82" t="s">
        <v>2722</v>
      </c>
      <c r="AD870" s="77" t="s">
        <v>2754</v>
      </c>
      <c r="AE870" s="80" t="str">
        <f>HYPERLINK("https://twitter.com/greenlandd41811/status/1668561861720285184")</f>
        <v>https://twitter.com/greenlandd41811/status/1668561861720285184</v>
      </c>
      <c r="AF870" s="79">
        <v>45090.425023148149</v>
      </c>
      <c r="AG870" s="85">
        <v>45090</v>
      </c>
      <c r="AH870" s="82" t="s">
        <v>3613</v>
      </c>
      <c r="AI870" s="77" t="b">
        <v>0</v>
      </c>
      <c r="AJ870" s="77"/>
      <c r="AK870" s="77"/>
      <c r="AL870" s="77"/>
      <c r="AM870" s="77"/>
      <c r="AN870" s="77"/>
      <c r="AO870" s="77"/>
      <c r="AP870" s="77"/>
      <c r="AQ870" s="77" t="s">
        <v>4261</v>
      </c>
      <c r="AR870" s="77"/>
      <c r="AS870" s="77"/>
      <c r="AT870" s="77"/>
      <c r="AU870" s="77"/>
      <c r="AV870" s="80" t="str">
        <f>HYPERLINK("https://pbs.twimg.com/media/FyfsKNaaYAAppwW.jpg")</f>
        <v>https://pbs.twimg.com/media/FyfsKNaaYAAppwW.jpg</v>
      </c>
      <c r="AW870" s="82" t="s">
        <v>5203</v>
      </c>
      <c r="AX870" s="82" t="s">
        <v>5203</v>
      </c>
      <c r="AY870" s="77"/>
      <c r="AZ870" s="82" t="s">
        <v>5615</v>
      </c>
      <c r="BA870" s="82" t="s">
        <v>5615</v>
      </c>
      <c r="BB870" s="82" t="s">
        <v>5615</v>
      </c>
      <c r="BC870" s="82" t="s">
        <v>5203</v>
      </c>
      <c r="BD870" s="82" t="s">
        <v>6065</v>
      </c>
      <c r="BE870" s="77"/>
      <c r="BF870" s="77"/>
      <c r="BG870" s="77"/>
      <c r="BH870" s="77"/>
      <c r="BI870" s="77"/>
    </row>
    <row r="871" spans="1:61" x14ac:dyDescent="0.25">
      <c r="A871" s="62" t="s">
        <v>516</v>
      </c>
      <c r="B871" s="62" t="s">
        <v>516</v>
      </c>
      <c r="C871" s="63"/>
      <c r="D871" s="64"/>
      <c r="E871" s="65"/>
      <c r="F871" s="66"/>
      <c r="G871" s="63"/>
      <c r="H871" s="67"/>
      <c r="I871" s="68"/>
      <c r="J871" s="68"/>
      <c r="K871" s="32"/>
      <c r="L871" s="75">
        <v>871</v>
      </c>
      <c r="M871" s="75"/>
      <c r="N871" s="70"/>
      <c r="O871" s="77" t="s">
        <v>179</v>
      </c>
      <c r="P871" s="79">
        <v>45159.817997685182</v>
      </c>
      <c r="Q871" s="77" t="s">
        <v>1420</v>
      </c>
      <c r="R871" s="77">
        <v>1</v>
      </c>
      <c r="S871" s="77">
        <v>2</v>
      </c>
      <c r="T871" s="77">
        <v>2</v>
      </c>
      <c r="U871" s="77">
        <v>0</v>
      </c>
      <c r="V871" s="77">
        <v>116</v>
      </c>
      <c r="W871" s="82" t="s">
        <v>2019</v>
      </c>
      <c r="X871" s="80" t="str">
        <f>HYPERLINK("https://www.kucoin.com/pt/learn/crypto/how-to-make-passive-income-with-stablecoins")</f>
        <v>https://www.kucoin.com/pt/learn/crypto/how-to-make-passive-income-with-stablecoins</v>
      </c>
      <c r="Y871" s="77" t="s">
        <v>2169</v>
      </c>
      <c r="Z871" s="77"/>
      <c r="AA871" s="77" t="s">
        <v>2636</v>
      </c>
      <c r="AB871" s="77" t="s">
        <v>2714</v>
      </c>
      <c r="AC871" s="82" t="s">
        <v>2722</v>
      </c>
      <c r="AD871" s="77" t="s">
        <v>2752</v>
      </c>
      <c r="AE871" s="80" t="str">
        <f>HYPERLINK("https://twitter.com/kucoinportugues/status/1693709034174415103")</f>
        <v>https://twitter.com/kucoinportugues/status/1693709034174415103</v>
      </c>
      <c r="AF871" s="79">
        <v>45159.817997685182</v>
      </c>
      <c r="AG871" s="85">
        <v>45159</v>
      </c>
      <c r="AH871" s="82" t="s">
        <v>3614</v>
      </c>
      <c r="AI871" s="77" t="b">
        <v>0</v>
      </c>
      <c r="AJ871" s="77"/>
      <c r="AK871" s="77"/>
      <c r="AL871" s="77"/>
      <c r="AM871" s="77"/>
      <c r="AN871" s="77"/>
      <c r="AO871" s="77"/>
      <c r="AP871" s="77"/>
      <c r="AQ871" s="77" t="s">
        <v>4262</v>
      </c>
      <c r="AR871" s="77"/>
      <c r="AS871" s="77"/>
      <c r="AT871" s="77"/>
      <c r="AU871" s="77"/>
      <c r="AV871" s="80" t="str">
        <f>HYPERLINK("https://pbs.twimg.com/media/F4FDYUBW8AArwz_.jpg")</f>
        <v>https://pbs.twimg.com/media/F4FDYUBW8AArwz_.jpg</v>
      </c>
      <c r="AW871" s="82" t="s">
        <v>5204</v>
      </c>
      <c r="AX871" s="82" t="s">
        <v>5204</v>
      </c>
      <c r="AY871" s="77"/>
      <c r="AZ871" s="82" t="s">
        <v>5615</v>
      </c>
      <c r="BA871" s="82" t="s">
        <v>5615</v>
      </c>
      <c r="BB871" s="82" t="s">
        <v>5615</v>
      </c>
      <c r="BC871" s="82" t="s">
        <v>5204</v>
      </c>
      <c r="BD871" s="82" t="s">
        <v>6066</v>
      </c>
      <c r="BE871" s="77"/>
      <c r="BF871" s="77"/>
      <c r="BG871" s="77"/>
      <c r="BH871" s="77"/>
      <c r="BI871" s="77"/>
    </row>
    <row r="872" spans="1:61" x14ac:dyDescent="0.25">
      <c r="A872" s="62" t="s">
        <v>517</v>
      </c>
      <c r="B872" s="62" t="s">
        <v>517</v>
      </c>
      <c r="C872" s="63"/>
      <c r="D872" s="64"/>
      <c r="E872" s="65"/>
      <c r="F872" s="66"/>
      <c r="G872" s="63"/>
      <c r="H872" s="67"/>
      <c r="I872" s="68"/>
      <c r="J872" s="68"/>
      <c r="K872" s="32"/>
      <c r="L872" s="75">
        <v>872</v>
      </c>
      <c r="M872" s="75"/>
      <c r="N872" s="70"/>
      <c r="O872" s="77" t="s">
        <v>179</v>
      </c>
      <c r="P872" s="79">
        <v>44987.134479166663</v>
      </c>
      <c r="Q872" s="77" t="s">
        <v>1421</v>
      </c>
      <c r="R872" s="77">
        <v>0</v>
      </c>
      <c r="S872" s="77">
        <v>1</v>
      </c>
      <c r="T872" s="77">
        <v>0</v>
      </c>
      <c r="U872" s="77">
        <v>0</v>
      </c>
      <c r="V872" s="77">
        <v>113</v>
      </c>
      <c r="W872" s="82" t="s">
        <v>1861</v>
      </c>
      <c r="X872" s="77"/>
      <c r="Y872" s="77"/>
      <c r="Z872" s="77"/>
      <c r="AA872" s="77" t="s">
        <v>2637</v>
      </c>
      <c r="AB872" s="77" t="s">
        <v>2716</v>
      </c>
      <c r="AC872" s="82" t="s">
        <v>2720</v>
      </c>
      <c r="AD872" s="77" t="s">
        <v>2752</v>
      </c>
      <c r="AE872" s="80" t="str">
        <f>HYPERLINK("https://twitter.com/fs_karoliny/status/1631130619676688385")</f>
        <v>https://twitter.com/fs_karoliny/status/1631130619676688385</v>
      </c>
      <c r="AF872" s="79">
        <v>44987.134479166663</v>
      </c>
      <c r="AG872" s="85">
        <v>44987</v>
      </c>
      <c r="AH872" s="82" t="s">
        <v>3615</v>
      </c>
      <c r="AI872" s="77" t="b">
        <v>0</v>
      </c>
      <c r="AJ872" s="77"/>
      <c r="AK872" s="77"/>
      <c r="AL872" s="77"/>
      <c r="AM872" s="77"/>
      <c r="AN872" s="77"/>
      <c r="AO872" s="77"/>
      <c r="AP872" s="77"/>
      <c r="AQ872" s="77" t="s">
        <v>4263</v>
      </c>
      <c r="AR872" s="77"/>
      <c r="AS872" s="77"/>
      <c r="AT872" s="77"/>
      <c r="AU872" s="77"/>
      <c r="AV872" s="80" t="str">
        <f>HYPERLINK("https://pbs.twimg.com/media/FqLwpZ-XgAAP1hs.jpg")</f>
        <v>https://pbs.twimg.com/media/FqLwpZ-XgAAP1hs.jpg</v>
      </c>
      <c r="AW872" s="82" t="s">
        <v>5205</v>
      </c>
      <c r="AX872" s="82" t="s">
        <v>5205</v>
      </c>
      <c r="AY872" s="77"/>
      <c r="AZ872" s="82" t="s">
        <v>5615</v>
      </c>
      <c r="BA872" s="82" t="s">
        <v>5615</v>
      </c>
      <c r="BB872" s="82" t="s">
        <v>5615</v>
      </c>
      <c r="BC872" s="82" t="s">
        <v>5205</v>
      </c>
      <c r="BD872" s="77">
        <v>213012326</v>
      </c>
      <c r="BE872" s="77"/>
      <c r="BF872" s="77"/>
      <c r="BG872" s="77"/>
      <c r="BH872" s="77"/>
      <c r="BI872" s="77"/>
    </row>
    <row r="873" spans="1:61" x14ac:dyDescent="0.25">
      <c r="A873" s="62" t="s">
        <v>518</v>
      </c>
      <c r="B873" s="62" t="s">
        <v>518</v>
      </c>
      <c r="C873" s="63"/>
      <c r="D873" s="64"/>
      <c r="E873" s="65"/>
      <c r="F873" s="66"/>
      <c r="G873" s="63"/>
      <c r="H873" s="67"/>
      <c r="I873" s="68"/>
      <c r="J873" s="68"/>
      <c r="K873" s="32"/>
      <c r="L873" s="75">
        <v>873</v>
      </c>
      <c r="M873" s="75"/>
      <c r="N873" s="70"/>
      <c r="O873" s="77" t="s">
        <v>179</v>
      </c>
      <c r="P873" s="79">
        <v>45020.777141203704</v>
      </c>
      <c r="Q873" s="77" t="s">
        <v>1422</v>
      </c>
      <c r="R873" s="77">
        <v>0</v>
      </c>
      <c r="S873" s="77">
        <v>0</v>
      </c>
      <c r="T873" s="77">
        <v>0</v>
      </c>
      <c r="U873" s="77">
        <v>0</v>
      </c>
      <c r="V873" s="77">
        <v>10</v>
      </c>
      <c r="W873" s="82" t="s">
        <v>2020</v>
      </c>
      <c r="X873" s="80" t="str">
        <f>HYPERLINK("https://falabarreiras.com/em-barreiras/curso-de-baloesoportunidade-de-conquistar-a-liberdade-financeira-atraves-da-arte-com-baloes/")</f>
        <v>https://falabarreiras.com/em-barreiras/curso-de-baloesoportunidade-de-conquistar-a-liberdade-financeira-atraves-da-arte-com-baloes/</v>
      </c>
      <c r="Y873" s="77" t="s">
        <v>2170</v>
      </c>
      <c r="Z873" s="77"/>
      <c r="AA873" s="77"/>
      <c r="AB873" s="77"/>
      <c r="AC873" s="82" t="s">
        <v>2722</v>
      </c>
      <c r="AD873" s="77" t="s">
        <v>2752</v>
      </c>
      <c r="AE873" s="80" t="str">
        <f>HYPERLINK("https://twitter.com/falabarreiras/status/1643322313717297153")</f>
        <v>https://twitter.com/falabarreiras/status/1643322313717297153</v>
      </c>
      <c r="AF873" s="79">
        <v>45020.777141203704</v>
      </c>
      <c r="AG873" s="85">
        <v>45020</v>
      </c>
      <c r="AH873" s="82" t="s">
        <v>3616</v>
      </c>
      <c r="AI873" s="77" t="b">
        <v>0</v>
      </c>
      <c r="AJ873" s="77"/>
      <c r="AK873" s="77"/>
      <c r="AL873" s="77"/>
      <c r="AM873" s="77"/>
      <c r="AN873" s="77"/>
      <c r="AO873" s="77"/>
      <c r="AP873" s="77"/>
      <c r="AQ873" s="77"/>
      <c r="AR873" s="77"/>
      <c r="AS873" s="77"/>
      <c r="AT873" s="77"/>
      <c r="AU873" s="77"/>
      <c r="AV873" s="80" t="str">
        <f>HYPERLINK("https://pbs.twimg.com/profile_images/1136356761542152192/R-24Jx9v_normal.png")</f>
        <v>https://pbs.twimg.com/profile_images/1136356761542152192/R-24Jx9v_normal.png</v>
      </c>
      <c r="AW873" s="82" t="s">
        <v>5206</v>
      </c>
      <c r="AX873" s="82" t="s">
        <v>5206</v>
      </c>
      <c r="AY873" s="77"/>
      <c r="AZ873" s="82" t="s">
        <v>5615</v>
      </c>
      <c r="BA873" s="82" t="s">
        <v>5615</v>
      </c>
      <c r="BB873" s="82" t="s">
        <v>5615</v>
      </c>
      <c r="BC873" s="82" t="s">
        <v>5206</v>
      </c>
      <c r="BD873" s="77">
        <v>2182634120</v>
      </c>
      <c r="BE873" s="77"/>
      <c r="BF873" s="77"/>
      <c r="BG873" s="77"/>
      <c r="BH873" s="77"/>
      <c r="BI873" s="77"/>
    </row>
    <row r="874" spans="1:61" x14ac:dyDescent="0.25">
      <c r="A874" s="62" t="s">
        <v>519</v>
      </c>
      <c r="B874" s="62" t="s">
        <v>519</v>
      </c>
      <c r="C874" s="63"/>
      <c r="D874" s="64"/>
      <c r="E874" s="65"/>
      <c r="F874" s="66"/>
      <c r="G874" s="63"/>
      <c r="H874" s="67"/>
      <c r="I874" s="68"/>
      <c r="J874" s="68"/>
      <c r="K874" s="32"/>
      <c r="L874" s="75">
        <v>874</v>
      </c>
      <c r="M874" s="75"/>
      <c r="N874" s="70"/>
      <c r="O874" s="77" t="s">
        <v>179</v>
      </c>
      <c r="P874" s="79">
        <v>44950.93891203704</v>
      </c>
      <c r="Q874" s="77" t="s">
        <v>1423</v>
      </c>
      <c r="R874" s="77">
        <v>0</v>
      </c>
      <c r="S874" s="77">
        <v>0</v>
      </c>
      <c r="T874" s="77">
        <v>0</v>
      </c>
      <c r="U874" s="77">
        <v>0</v>
      </c>
      <c r="V874" s="77">
        <v>62</v>
      </c>
      <c r="W874" s="82" t="s">
        <v>2021</v>
      </c>
      <c r="X874" s="80" t="str">
        <f>HYPERLINK("http://linktr.ee/julionafe")</f>
        <v>http://linktr.ee/julionafe</v>
      </c>
      <c r="Y874" s="77" t="s">
        <v>2164</v>
      </c>
      <c r="Z874" s="77"/>
      <c r="AA874" s="77" t="s">
        <v>2638</v>
      </c>
      <c r="AB874" s="77" t="s">
        <v>2714</v>
      </c>
      <c r="AC874" s="82" t="s">
        <v>2719</v>
      </c>
      <c r="AD874" s="77" t="s">
        <v>2752</v>
      </c>
      <c r="AE874" s="80" t="str">
        <f>HYPERLINK("https://twitter.com/julionafe/status/1618013785230569473")</f>
        <v>https://twitter.com/julionafe/status/1618013785230569473</v>
      </c>
      <c r="AF874" s="79">
        <v>44950.93891203704</v>
      </c>
      <c r="AG874" s="85">
        <v>44950</v>
      </c>
      <c r="AH874" s="82" t="s">
        <v>3617</v>
      </c>
      <c r="AI874" s="77" t="b">
        <v>0</v>
      </c>
      <c r="AJ874" s="77"/>
      <c r="AK874" s="77"/>
      <c r="AL874" s="77"/>
      <c r="AM874" s="77"/>
      <c r="AN874" s="77"/>
      <c r="AO874" s="77"/>
      <c r="AP874" s="77"/>
      <c r="AQ874" s="77" t="s">
        <v>4264</v>
      </c>
      <c r="AR874" s="77"/>
      <c r="AS874" s="77"/>
      <c r="AT874" s="77"/>
      <c r="AU874" s="77"/>
      <c r="AV874" s="80" t="str">
        <f>HYPERLINK("https://pbs.twimg.com/media/FnRW9J6WAAA3fJx.jpg")</f>
        <v>https://pbs.twimg.com/media/FnRW9J6WAAA3fJx.jpg</v>
      </c>
      <c r="AW874" s="82" t="s">
        <v>5207</v>
      </c>
      <c r="AX874" s="82" t="s">
        <v>5207</v>
      </c>
      <c r="AY874" s="77"/>
      <c r="AZ874" s="82" t="s">
        <v>5615</v>
      </c>
      <c r="BA874" s="82" t="s">
        <v>5615</v>
      </c>
      <c r="BB874" s="82" t="s">
        <v>5615</v>
      </c>
      <c r="BC874" s="82" t="s">
        <v>5207</v>
      </c>
      <c r="BD874" s="77">
        <v>118802812</v>
      </c>
      <c r="BE874" s="77"/>
      <c r="BF874" s="77"/>
      <c r="BG874" s="77"/>
      <c r="BH874" s="77"/>
      <c r="BI874" s="77"/>
    </row>
    <row r="875" spans="1:61" x14ac:dyDescent="0.25">
      <c r="A875" s="62" t="s">
        <v>519</v>
      </c>
      <c r="B875" s="62" t="s">
        <v>519</v>
      </c>
      <c r="C875" s="63"/>
      <c r="D875" s="64"/>
      <c r="E875" s="65"/>
      <c r="F875" s="66"/>
      <c r="G875" s="63"/>
      <c r="H875" s="67"/>
      <c r="I875" s="68"/>
      <c r="J875" s="68"/>
      <c r="K875" s="32"/>
      <c r="L875" s="75">
        <v>875</v>
      </c>
      <c r="M875" s="75"/>
      <c r="N875" s="70"/>
      <c r="O875" s="77" t="s">
        <v>179</v>
      </c>
      <c r="P875" s="79">
        <v>44945.755219907405</v>
      </c>
      <c r="Q875" s="77" t="s">
        <v>1424</v>
      </c>
      <c r="R875" s="77">
        <v>0</v>
      </c>
      <c r="S875" s="77">
        <v>0</v>
      </c>
      <c r="T875" s="77">
        <v>0</v>
      </c>
      <c r="U875" s="77">
        <v>0</v>
      </c>
      <c r="V875" s="77">
        <v>14</v>
      </c>
      <c r="W875" s="82" t="s">
        <v>2022</v>
      </c>
      <c r="X875" s="80" t="str">
        <f>HYPERLINK("http://linktr.ee/julionafe")</f>
        <v>http://linktr.ee/julionafe</v>
      </c>
      <c r="Y875" s="77" t="s">
        <v>2164</v>
      </c>
      <c r="Z875" s="77"/>
      <c r="AA875" s="77" t="s">
        <v>2639</v>
      </c>
      <c r="AB875" s="77" t="s">
        <v>2714</v>
      </c>
      <c r="AC875" s="82" t="s">
        <v>2719</v>
      </c>
      <c r="AD875" s="77" t="s">
        <v>2752</v>
      </c>
      <c r="AE875" s="80" t="str">
        <f>HYPERLINK("https://twitter.com/julionafe/status/1616135277172367360")</f>
        <v>https://twitter.com/julionafe/status/1616135277172367360</v>
      </c>
      <c r="AF875" s="79">
        <v>44945.755219907405</v>
      </c>
      <c r="AG875" s="85">
        <v>44945</v>
      </c>
      <c r="AH875" s="82" t="s">
        <v>3618</v>
      </c>
      <c r="AI875" s="77" t="b">
        <v>0</v>
      </c>
      <c r="AJ875" s="77"/>
      <c r="AK875" s="77"/>
      <c r="AL875" s="77"/>
      <c r="AM875" s="77"/>
      <c r="AN875" s="77"/>
      <c r="AO875" s="77"/>
      <c r="AP875" s="77"/>
      <c r="AQ875" s="77" t="s">
        <v>4265</v>
      </c>
      <c r="AR875" s="77"/>
      <c r="AS875" s="77"/>
      <c r="AT875" s="77"/>
      <c r="AU875" s="77"/>
      <c r="AV875" s="80" t="str">
        <f>HYPERLINK("https://pbs.twimg.com/media/Fm2qeA3WAA4tqF1.jpg")</f>
        <v>https://pbs.twimg.com/media/Fm2qeA3WAA4tqF1.jpg</v>
      </c>
      <c r="AW875" s="82" t="s">
        <v>5208</v>
      </c>
      <c r="AX875" s="82" t="s">
        <v>5208</v>
      </c>
      <c r="AY875" s="77"/>
      <c r="AZ875" s="82" t="s">
        <v>5615</v>
      </c>
      <c r="BA875" s="82" t="s">
        <v>5615</v>
      </c>
      <c r="BB875" s="82" t="s">
        <v>5615</v>
      </c>
      <c r="BC875" s="82" t="s">
        <v>5208</v>
      </c>
      <c r="BD875" s="77">
        <v>118802812</v>
      </c>
      <c r="BE875" s="77"/>
      <c r="BF875" s="77"/>
      <c r="BG875" s="77"/>
      <c r="BH875" s="77"/>
      <c r="BI875" s="77"/>
    </row>
    <row r="876" spans="1:61" x14ac:dyDescent="0.25">
      <c r="A876" s="62" t="s">
        <v>519</v>
      </c>
      <c r="B876" s="62" t="s">
        <v>519</v>
      </c>
      <c r="C876" s="63"/>
      <c r="D876" s="64"/>
      <c r="E876" s="65"/>
      <c r="F876" s="66"/>
      <c r="G876" s="63"/>
      <c r="H876" s="67"/>
      <c r="I876" s="68"/>
      <c r="J876" s="68"/>
      <c r="K876" s="32"/>
      <c r="L876" s="75">
        <v>876</v>
      </c>
      <c r="M876" s="75"/>
      <c r="N876" s="70"/>
      <c r="O876" s="77" t="s">
        <v>179</v>
      </c>
      <c r="P876" s="79">
        <v>44977.59578703704</v>
      </c>
      <c r="Q876" s="77" t="s">
        <v>1425</v>
      </c>
      <c r="R876" s="77">
        <v>0</v>
      </c>
      <c r="S876" s="77">
        <v>0</v>
      </c>
      <c r="T876" s="77">
        <v>0</v>
      </c>
      <c r="U876" s="77">
        <v>0</v>
      </c>
      <c r="V876" s="77">
        <v>44</v>
      </c>
      <c r="W876" s="82" t="s">
        <v>2023</v>
      </c>
      <c r="X876" s="80" t="str">
        <f>HYPERLINK("http://linktr.ee/julionafe")</f>
        <v>http://linktr.ee/julionafe</v>
      </c>
      <c r="Y876" s="77" t="s">
        <v>2164</v>
      </c>
      <c r="Z876" s="77"/>
      <c r="AA876" s="77" t="s">
        <v>2640</v>
      </c>
      <c r="AB876" s="77" t="s">
        <v>2714</v>
      </c>
      <c r="AC876" s="82" t="s">
        <v>2719</v>
      </c>
      <c r="AD876" s="77" t="s">
        <v>2752</v>
      </c>
      <c r="AE876" s="80" t="str">
        <f>HYPERLINK("https://twitter.com/julionafe/status/1627673912904499200")</f>
        <v>https://twitter.com/julionafe/status/1627673912904499200</v>
      </c>
      <c r="AF876" s="79">
        <v>44977.59578703704</v>
      </c>
      <c r="AG876" s="85">
        <v>44977</v>
      </c>
      <c r="AH876" s="82" t="s">
        <v>3619</v>
      </c>
      <c r="AI876" s="77" t="b">
        <v>0</v>
      </c>
      <c r="AJ876" s="77"/>
      <c r="AK876" s="77"/>
      <c r="AL876" s="77"/>
      <c r="AM876" s="77"/>
      <c r="AN876" s="77"/>
      <c r="AO876" s="77"/>
      <c r="AP876" s="77"/>
      <c r="AQ876" s="77" t="s">
        <v>4266</v>
      </c>
      <c r="AR876" s="77"/>
      <c r="AS876" s="77"/>
      <c r="AT876" s="77"/>
      <c r="AU876" s="77"/>
      <c r="AV876" s="80" t="str">
        <f>HYPERLINK("https://pbs.twimg.com/media/FpaozERWYAIeNQe.jpg")</f>
        <v>https://pbs.twimg.com/media/FpaozERWYAIeNQe.jpg</v>
      </c>
      <c r="AW876" s="82" t="s">
        <v>5209</v>
      </c>
      <c r="AX876" s="82" t="s">
        <v>5209</v>
      </c>
      <c r="AY876" s="77"/>
      <c r="AZ876" s="82" t="s">
        <v>5615</v>
      </c>
      <c r="BA876" s="82" t="s">
        <v>5615</v>
      </c>
      <c r="BB876" s="82" t="s">
        <v>5615</v>
      </c>
      <c r="BC876" s="82" t="s">
        <v>5209</v>
      </c>
      <c r="BD876" s="77">
        <v>118802812</v>
      </c>
      <c r="BE876" s="77"/>
      <c r="BF876" s="77"/>
      <c r="BG876" s="77"/>
      <c r="BH876" s="77"/>
      <c r="BI876" s="77"/>
    </row>
    <row r="877" spans="1:61" x14ac:dyDescent="0.25">
      <c r="A877" s="62" t="s">
        <v>519</v>
      </c>
      <c r="B877" s="62" t="s">
        <v>519</v>
      </c>
      <c r="C877" s="63"/>
      <c r="D877" s="64"/>
      <c r="E877" s="65"/>
      <c r="F877" s="66"/>
      <c r="G877" s="63"/>
      <c r="H877" s="67"/>
      <c r="I877" s="68"/>
      <c r="J877" s="68"/>
      <c r="K877" s="32"/>
      <c r="L877" s="75">
        <v>877</v>
      </c>
      <c r="M877" s="75"/>
      <c r="N877" s="70"/>
      <c r="O877" s="77" t="s">
        <v>179</v>
      </c>
      <c r="P877" s="79">
        <v>44977.594976851855</v>
      </c>
      <c r="Q877" s="77" t="s">
        <v>1426</v>
      </c>
      <c r="R877" s="77">
        <v>0</v>
      </c>
      <c r="S877" s="77">
        <v>0</v>
      </c>
      <c r="T877" s="77">
        <v>0</v>
      </c>
      <c r="U877" s="77">
        <v>0</v>
      </c>
      <c r="V877" s="77">
        <v>36</v>
      </c>
      <c r="W877" s="82" t="s">
        <v>2024</v>
      </c>
      <c r="X877" s="80" t="str">
        <f>HYPERLINK("http://linktr.ee/julionafe")</f>
        <v>http://linktr.ee/julionafe</v>
      </c>
      <c r="Y877" s="77" t="s">
        <v>2164</v>
      </c>
      <c r="Z877" s="77"/>
      <c r="AA877" s="77" t="s">
        <v>2641</v>
      </c>
      <c r="AB877" s="77" t="s">
        <v>2714</v>
      </c>
      <c r="AC877" s="82" t="s">
        <v>2719</v>
      </c>
      <c r="AD877" s="77" t="s">
        <v>2752</v>
      </c>
      <c r="AE877" s="80" t="str">
        <f>HYPERLINK("https://twitter.com/julionafe/status/1627673619663921152")</f>
        <v>https://twitter.com/julionafe/status/1627673619663921152</v>
      </c>
      <c r="AF877" s="79">
        <v>44977.594976851855</v>
      </c>
      <c r="AG877" s="85">
        <v>44977</v>
      </c>
      <c r="AH877" s="82" t="s">
        <v>3620</v>
      </c>
      <c r="AI877" s="77" t="b">
        <v>0</v>
      </c>
      <c r="AJ877" s="77"/>
      <c r="AK877" s="77"/>
      <c r="AL877" s="77"/>
      <c r="AM877" s="77"/>
      <c r="AN877" s="77"/>
      <c r="AO877" s="77"/>
      <c r="AP877" s="77"/>
      <c r="AQ877" s="77" t="s">
        <v>4267</v>
      </c>
      <c r="AR877" s="77"/>
      <c r="AS877" s="77"/>
      <c r="AT877" s="77"/>
      <c r="AU877" s="77"/>
      <c r="AV877" s="80" t="str">
        <f>HYPERLINK("https://pbs.twimg.com/media/Fpaoh99XsAE4B6T.jpg")</f>
        <v>https://pbs.twimg.com/media/Fpaoh99XsAE4B6T.jpg</v>
      </c>
      <c r="AW877" s="82" t="s">
        <v>5210</v>
      </c>
      <c r="AX877" s="82" t="s">
        <v>5210</v>
      </c>
      <c r="AY877" s="77"/>
      <c r="AZ877" s="82" t="s">
        <v>5615</v>
      </c>
      <c r="BA877" s="82" t="s">
        <v>5615</v>
      </c>
      <c r="BB877" s="82" t="s">
        <v>5615</v>
      </c>
      <c r="BC877" s="82" t="s">
        <v>5210</v>
      </c>
      <c r="BD877" s="77">
        <v>118802812</v>
      </c>
      <c r="BE877" s="77"/>
      <c r="BF877" s="77"/>
      <c r="BG877" s="77"/>
      <c r="BH877" s="77"/>
      <c r="BI877" s="77"/>
    </row>
    <row r="878" spans="1:61" x14ac:dyDescent="0.25">
      <c r="A878" s="62" t="s">
        <v>519</v>
      </c>
      <c r="B878" s="62" t="s">
        <v>519</v>
      </c>
      <c r="C878" s="63"/>
      <c r="D878" s="64"/>
      <c r="E878" s="65"/>
      <c r="F878" s="66"/>
      <c r="G878" s="63"/>
      <c r="H878" s="67"/>
      <c r="I878" s="68"/>
      <c r="J878" s="68"/>
      <c r="K878" s="32"/>
      <c r="L878" s="75">
        <v>878</v>
      </c>
      <c r="M878" s="75"/>
      <c r="N878" s="70"/>
      <c r="O878" s="77" t="s">
        <v>179</v>
      </c>
      <c r="P878" s="79">
        <v>44977.593993055554</v>
      </c>
      <c r="Q878" s="77" t="s">
        <v>1427</v>
      </c>
      <c r="R878" s="77">
        <v>0</v>
      </c>
      <c r="S878" s="77">
        <v>0</v>
      </c>
      <c r="T878" s="77">
        <v>0</v>
      </c>
      <c r="U878" s="77">
        <v>0</v>
      </c>
      <c r="V878" s="77">
        <v>13</v>
      </c>
      <c r="W878" s="82" t="s">
        <v>2025</v>
      </c>
      <c r="X878" s="80" t="str">
        <f>HYPERLINK("http://linktr.ee/julionafe")</f>
        <v>http://linktr.ee/julionafe</v>
      </c>
      <c r="Y878" s="77" t="s">
        <v>2164</v>
      </c>
      <c r="Z878" s="77"/>
      <c r="AA878" s="77" t="s">
        <v>2642</v>
      </c>
      <c r="AB878" s="77" t="s">
        <v>2714</v>
      </c>
      <c r="AC878" s="82" t="s">
        <v>2719</v>
      </c>
      <c r="AD878" s="77" t="s">
        <v>2754</v>
      </c>
      <c r="AE878" s="80" t="str">
        <f>HYPERLINK("https://twitter.com/julionafe/status/1627673264158900225")</f>
        <v>https://twitter.com/julionafe/status/1627673264158900225</v>
      </c>
      <c r="AF878" s="79">
        <v>44977.593993055554</v>
      </c>
      <c r="AG878" s="85">
        <v>44977</v>
      </c>
      <c r="AH878" s="82" t="s">
        <v>3621</v>
      </c>
      <c r="AI878" s="77" t="b">
        <v>0</v>
      </c>
      <c r="AJ878" s="77"/>
      <c r="AK878" s="77"/>
      <c r="AL878" s="77"/>
      <c r="AM878" s="77"/>
      <c r="AN878" s="77"/>
      <c r="AO878" s="77"/>
      <c r="AP878" s="77"/>
      <c r="AQ878" s="77" t="s">
        <v>4268</v>
      </c>
      <c r="AR878" s="77"/>
      <c r="AS878" s="77"/>
      <c r="AT878" s="77"/>
      <c r="AU878" s="77"/>
      <c r="AV878" s="80" t="str">
        <f>HYPERLINK("https://pbs.twimg.com/media/FpaoNS8WcAIrs3r.jpg")</f>
        <v>https://pbs.twimg.com/media/FpaoNS8WcAIrs3r.jpg</v>
      </c>
      <c r="AW878" s="82" t="s">
        <v>5211</v>
      </c>
      <c r="AX878" s="82" t="s">
        <v>5211</v>
      </c>
      <c r="AY878" s="77"/>
      <c r="AZ878" s="82" t="s">
        <v>5615</v>
      </c>
      <c r="BA878" s="82" t="s">
        <v>5615</v>
      </c>
      <c r="BB878" s="82" t="s">
        <v>5615</v>
      </c>
      <c r="BC878" s="82" t="s">
        <v>5211</v>
      </c>
      <c r="BD878" s="77">
        <v>118802812</v>
      </c>
      <c r="BE878" s="77"/>
      <c r="BF878" s="77"/>
      <c r="BG878" s="77"/>
      <c r="BH878" s="77"/>
      <c r="BI878" s="77"/>
    </row>
    <row r="879" spans="1:61" x14ac:dyDescent="0.25">
      <c r="A879" s="62" t="s">
        <v>519</v>
      </c>
      <c r="B879" s="62" t="s">
        <v>519</v>
      </c>
      <c r="C879" s="63"/>
      <c r="D879" s="64"/>
      <c r="E879" s="65"/>
      <c r="F879" s="66"/>
      <c r="G879" s="63"/>
      <c r="H879" s="67"/>
      <c r="I879" s="68"/>
      <c r="J879" s="68"/>
      <c r="K879" s="32"/>
      <c r="L879" s="75">
        <v>879</v>
      </c>
      <c r="M879" s="75"/>
      <c r="N879" s="70"/>
      <c r="O879" s="77" t="s">
        <v>179</v>
      </c>
      <c r="P879" s="79">
        <v>44944.952303240738</v>
      </c>
      <c r="Q879" s="77" t="s">
        <v>1428</v>
      </c>
      <c r="R879" s="77">
        <v>0</v>
      </c>
      <c r="S879" s="77">
        <v>0</v>
      </c>
      <c r="T879" s="77">
        <v>0</v>
      </c>
      <c r="U879" s="77">
        <v>0</v>
      </c>
      <c r="V879" s="77">
        <v>44</v>
      </c>
      <c r="W879" s="82" t="s">
        <v>2026</v>
      </c>
      <c r="X879" s="80" t="str">
        <f>HYPERLINK("http://linktr.ee/julionafe")</f>
        <v>http://linktr.ee/julionafe</v>
      </c>
      <c r="Y879" s="77" t="s">
        <v>2164</v>
      </c>
      <c r="Z879" s="77"/>
      <c r="AA879" s="77" t="s">
        <v>2643</v>
      </c>
      <c r="AB879" s="77" t="s">
        <v>2716</v>
      </c>
      <c r="AC879" s="82" t="s">
        <v>2719</v>
      </c>
      <c r="AD879" s="77" t="s">
        <v>2752</v>
      </c>
      <c r="AE879" s="80" t="str">
        <f>HYPERLINK("https://twitter.com/julionafe/status/1615844313480527872")</f>
        <v>https://twitter.com/julionafe/status/1615844313480527872</v>
      </c>
      <c r="AF879" s="79">
        <v>44944.952303240738</v>
      </c>
      <c r="AG879" s="85">
        <v>44944</v>
      </c>
      <c r="AH879" s="82" t="s">
        <v>3622</v>
      </c>
      <c r="AI879" s="77" t="b">
        <v>0</v>
      </c>
      <c r="AJ879" s="77"/>
      <c r="AK879" s="77"/>
      <c r="AL879" s="77"/>
      <c r="AM879" s="77"/>
      <c r="AN879" s="77"/>
      <c r="AO879" s="77"/>
      <c r="AP879" s="77"/>
      <c r="AQ879" s="77" t="s">
        <v>4269</v>
      </c>
      <c r="AR879" s="77"/>
      <c r="AS879" s="77"/>
      <c r="AT879" s="77"/>
      <c r="AU879" s="77"/>
      <c r="AV879" s="80" t="str">
        <f>HYPERLINK("https://pbs.twimg.com/media/Fmyh1PWXoAE_q_2.jpg")</f>
        <v>https://pbs.twimg.com/media/Fmyh1PWXoAE_q_2.jpg</v>
      </c>
      <c r="AW879" s="82" t="s">
        <v>5212</v>
      </c>
      <c r="AX879" s="82" t="s">
        <v>5212</v>
      </c>
      <c r="AY879" s="77"/>
      <c r="AZ879" s="82" t="s">
        <v>5615</v>
      </c>
      <c r="BA879" s="82" t="s">
        <v>5615</v>
      </c>
      <c r="BB879" s="82" t="s">
        <v>5615</v>
      </c>
      <c r="BC879" s="82" t="s">
        <v>5212</v>
      </c>
      <c r="BD879" s="77">
        <v>118802812</v>
      </c>
      <c r="BE879" s="77"/>
      <c r="BF879" s="77"/>
      <c r="BG879" s="77"/>
      <c r="BH879" s="77"/>
      <c r="BI879" s="77"/>
    </row>
    <row r="880" spans="1:61" x14ac:dyDescent="0.25">
      <c r="A880" s="62" t="s">
        <v>519</v>
      </c>
      <c r="B880" s="62" t="s">
        <v>519</v>
      </c>
      <c r="C880" s="63"/>
      <c r="D880" s="64"/>
      <c r="E880" s="65"/>
      <c r="F880" s="66"/>
      <c r="G880" s="63"/>
      <c r="H880" s="67"/>
      <c r="I880" s="68"/>
      <c r="J880" s="68"/>
      <c r="K880" s="32"/>
      <c r="L880" s="75">
        <v>880</v>
      </c>
      <c r="M880" s="75"/>
      <c r="N880" s="70"/>
      <c r="O880" s="77" t="s">
        <v>179</v>
      </c>
      <c r="P880" s="79">
        <v>45012.114062499997</v>
      </c>
      <c r="Q880" s="77" t="s">
        <v>1429</v>
      </c>
      <c r="R880" s="77">
        <v>0</v>
      </c>
      <c r="S880" s="77">
        <v>0</v>
      </c>
      <c r="T880" s="77">
        <v>0</v>
      </c>
      <c r="U880" s="77">
        <v>0</v>
      </c>
      <c r="V880" s="77">
        <v>8</v>
      </c>
      <c r="W880" s="82" t="s">
        <v>2027</v>
      </c>
      <c r="X880" s="80" t="str">
        <f>HYPERLINK("http://linktr.ee/julionafe")</f>
        <v>http://linktr.ee/julionafe</v>
      </c>
      <c r="Y880" s="77" t="s">
        <v>2164</v>
      </c>
      <c r="Z880" s="77"/>
      <c r="AA880" s="77" t="s">
        <v>2644</v>
      </c>
      <c r="AB880" s="77" t="s">
        <v>2714</v>
      </c>
      <c r="AC880" s="82" t="s">
        <v>2719</v>
      </c>
      <c r="AD880" s="77" t="s">
        <v>2752</v>
      </c>
      <c r="AE880" s="80" t="str">
        <f>HYPERLINK("https://twitter.com/julionafe/status/1640182918164230145")</f>
        <v>https://twitter.com/julionafe/status/1640182918164230145</v>
      </c>
      <c r="AF880" s="79">
        <v>45012.114062499997</v>
      </c>
      <c r="AG880" s="85">
        <v>45012</v>
      </c>
      <c r="AH880" s="82" t="s">
        <v>3623</v>
      </c>
      <c r="AI880" s="77" t="b">
        <v>0</v>
      </c>
      <c r="AJ880" s="77"/>
      <c r="AK880" s="77"/>
      <c r="AL880" s="77"/>
      <c r="AM880" s="77"/>
      <c r="AN880" s="77"/>
      <c r="AO880" s="77"/>
      <c r="AP880" s="77"/>
      <c r="AQ880" s="77" t="s">
        <v>4270</v>
      </c>
      <c r="AR880" s="77"/>
      <c r="AS880" s="77"/>
      <c r="AT880" s="77"/>
      <c r="AU880" s="77"/>
      <c r="AV880" s="80" t="str">
        <f>HYPERLINK("https://pbs.twimg.com/media/FsMZq80X0AEXy7q.jpg")</f>
        <v>https://pbs.twimg.com/media/FsMZq80X0AEXy7q.jpg</v>
      </c>
      <c r="AW880" s="82" t="s">
        <v>5213</v>
      </c>
      <c r="AX880" s="82" t="s">
        <v>5213</v>
      </c>
      <c r="AY880" s="77"/>
      <c r="AZ880" s="82" t="s">
        <v>5615</v>
      </c>
      <c r="BA880" s="82" t="s">
        <v>5615</v>
      </c>
      <c r="BB880" s="82" t="s">
        <v>5615</v>
      </c>
      <c r="BC880" s="82" t="s">
        <v>5213</v>
      </c>
      <c r="BD880" s="77">
        <v>118802812</v>
      </c>
      <c r="BE880" s="77"/>
      <c r="BF880" s="77"/>
      <c r="BG880" s="77"/>
      <c r="BH880" s="77"/>
      <c r="BI880" s="77"/>
    </row>
    <row r="881" spans="1:61" x14ac:dyDescent="0.25">
      <c r="A881" s="62" t="s">
        <v>519</v>
      </c>
      <c r="B881" s="62" t="s">
        <v>519</v>
      </c>
      <c r="C881" s="63"/>
      <c r="D881" s="64"/>
      <c r="E881" s="65"/>
      <c r="F881" s="66"/>
      <c r="G881" s="63"/>
      <c r="H881" s="67"/>
      <c r="I881" s="68"/>
      <c r="J881" s="68"/>
      <c r="K881" s="32"/>
      <c r="L881" s="75">
        <v>881</v>
      </c>
      <c r="M881" s="75"/>
      <c r="N881" s="70"/>
      <c r="O881" s="77" t="s">
        <v>179</v>
      </c>
      <c r="P881" s="79">
        <v>45012.111087962963</v>
      </c>
      <c r="Q881" s="77" t="s">
        <v>1430</v>
      </c>
      <c r="R881" s="77">
        <v>0</v>
      </c>
      <c r="S881" s="77">
        <v>0</v>
      </c>
      <c r="T881" s="77">
        <v>0</v>
      </c>
      <c r="U881" s="77">
        <v>0</v>
      </c>
      <c r="V881" s="77">
        <v>9</v>
      </c>
      <c r="W881" s="82" t="s">
        <v>2028</v>
      </c>
      <c r="X881" s="80" t="str">
        <f>HYPERLINK("http://linktr.ee/julionafe")</f>
        <v>http://linktr.ee/julionafe</v>
      </c>
      <c r="Y881" s="77" t="s">
        <v>2164</v>
      </c>
      <c r="Z881" s="77"/>
      <c r="AA881" s="77" t="s">
        <v>2645</v>
      </c>
      <c r="AB881" s="77" t="s">
        <v>2714</v>
      </c>
      <c r="AC881" s="82" t="s">
        <v>2719</v>
      </c>
      <c r="AD881" s="77" t="s">
        <v>2752</v>
      </c>
      <c r="AE881" s="80" t="str">
        <f>HYPERLINK("https://twitter.com/julionafe/status/1640181838843969539")</f>
        <v>https://twitter.com/julionafe/status/1640181838843969539</v>
      </c>
      <c r="AF881" s="79">
        <v>45012.111087962963</v>
      </c>
      <c r="AG881" s="85">
        <v>45012</v>
      </c>
      <c r="AH881" s="82" t="s">
        <v>3624</v>
      </c>
      <c r="AI881" s="77" t="b">
        <v>0</v>
      </c>
      <c r="AJ881" s="77"/>
      <c r="AK881" s="77"/>
      <c r="AL881" s="77"/>
      <c r="AM881" s="77"/>
      <c r="AN881" s="77"/>
      <c r="AO881" s="77"/>
      <c r="AP881" s="77"/>
      <c r="AQ881" s="77" t="s">
        <v>4271</v>
      </c>
      <c r="AR881" s="77"/>
      <c r="AS881" s="77"/>
      <c r="AT881" s="77"/>
      <c r="AU881" s="77"/>
      <c r="AV881" s="80" t="str">
        <f>HYPERLINK("https://pbs.twimg.com/media/FsMYsHhWIAAa8Dz.jpg")</f>
        <v>https://pbs.twimg.com/media/FsMYsHhWIAAa8Dz.jpg</v>
      </c>
      <c r="AW881" s="82" t="s">
        <v>5214</v>
      </c>
      <c r="AX881" s="82" t="s">
        <v>5214</v>
      </c>
      <c r="AY881" s="77"/>
      <c r="AZ881" s="82" t="s">
        <v>5615</v>
      </c>
      <c r="BA881" s="82" t="s">
        <v>5615</v>
      </c>
      <c r="BB881" s="82" t="s">
        <v>5615</v>
      </c>
      <c r="BC881" s="82" t="s">
        <v>5214</v>
      </c>
      <c r="BD881" s="77">
        <v>118802812</v>
      </c>
      <c r="BE881" s="77"/>
      <c r="BF881" s="77"/>
      <c r="BG881" s="77"/>
      <c r="BH881" s="77"/>
      <c r="BI881" s="77"/>
    </row>
    <row r="882" spans="1:61" x14ac:dyDescent="0.25">
      <c r="A882" s="62" t="s">
        <v>520</v>
      </c>
      <c r="B882" s="62" t="s">
        <v>520</v>
      </c>
      <c r="C882" s="63"/>
      <c r="D882" s="64"/>
      <c r="E882" s="65"/>
      <c r="F882" s="66"/>
      <c r="G882" s="63"/>
      <c r="H882" s="67"/>
      <c r="I882" s="68"/>
      <c r="J882" s="68"/>
      <c r="K882" s="32"/>
      <c r="L882" s="75">
        <v>882</v>
      </c>
      <c r="M882" s="75"/>
      <c r="N882" s="70"/>
      <c r="O882" s="77" t="s">
        <v>179</v>
      </c>
      <c r="P882" s="79">
        <v>45190.750694444447</v>
      </c>
      <c r="Q882" s="77" t="s">
        <v>1431</v>
      </c>
      <c r="R882" s="77">
        <v>1690</v>
      </c>
      <c r="S882" s="77">
        <v>32391</v>
      </c>
      <c r="T882" s="77">
        <v>652</v>
      </c>
      <c r="U882" s="77">
        <v>735</v>
      </c>
      <c r="V882" s="77">
        <v>570757</v>
      </c>
      <c r="W882" s="77"/>
      <c r="X882" s="77"/>
      <c r="Y882" s="77"/>
      <c r="Z882" s="77"/>
      <c r="AA882" s="77"/>
      <c r="AB882" s="77"/>
      <c r="AC882" s="82" t="s">
        <v>2720</v>
      </c>
      <c r="AD882" s="77" t="s">
        <v>2752</v>
      </c>
      <c r="AE882" s="80" t="str">
        <f>HYPERLINK("https://twitter.com/futurizando_/status/1704918664779014259")</f>
        <v>https://twitter.com/futurizando_/status/1704918664779014259</v>
      </c>
      <c r="AF882" s="79">
        <v>45190.750694444447</v>
      </c>
      <c r="AG882" s="85">
        <v>45190</v>
      </c>
      <c r="AH882" s="82" t="s">
        <v>3625</v>
      </c>
      <c r="AI882" s="77"/>
      <c r="AJ882" s="77"/>
      <c r="AK882" s="77"/>
      <c r="AL882" s="77"/>
      <c r="AM882" s="77"/>
      <c r="AN882" s="77"/>
      <c r="AO882" s="77"/>
      <c r="AP882" s="77"/>
      <c r="AQ882" s="77"/>
      <c r="AR882" s="77"/>
      <c r="AS882" s="77"/>
      <c r="AT882" s="77"/>
      <c r="AU882" s="77"/>
      <c r="AV882" s="80" t="str">
        <f>HYPERLINK("https://pbs.twimg.com/profile_images/1643053578498572288/6gQLtHTS_normal.jpg")</f>
        <v>https://pbs.twimg.com/profile_images/1643053578498572288/6gQLtHTS_normal.jpg</v>
      </c>
      <c r="AW882" s="82" t="s">
        <v>5215</v>
      </c>
      <c r="AX882" s="82" t="s">
        <v>5215</v>
      </c>
      <c r="AY882" s="77"/>
      <c r="AZ882" s="82" t="s">
        <v>5615</v>
      </c>
      <c r="BA882" s="82" t="s">
        <v>5615</v>
      </c>
      <c r="BB882" s="82" t="s">
        <v>5615</v>
      </c>
      <c r="BC882" s="82" t="s">
        <v>5215</v>
      </c>
      <c r="BD882" s="82" t="s">
        <v>6067</v>
      </c>
      <c r="BE882" s="77"/>
      <c r="BF882" s="77"/>
      <c r="BG882" s="77"/>
      <c r="BH882" s="77"/>
      <c r="BI882" s="77"/>
    </row>
    <row r="883" spans="1:61" x14ac:dyDescent="0.25">
      <c r="A883" s="62" t="s">
        <v>521</v>
      </c>
      <c r="B883" s="62" t="s">
        <v>521</v>
      </c>
      <c r="C883" s="63"/>
      <c r="D883" s="64"/>
      <c r="E883" s="65"/>
      <c r="F883" s="66"/>
      <c r="G883" s="63"/>
      <c r="H883" s="67"/>
      <c r="I883" s="68"/>
      <c r="J883" s="68"/>
      <c r="K883" s="32"/>
      <c r="L883" s="75">
        <v>883</v>
      </c>
      <c r="M883" s="75"/>
      <c r="N883" s="70"/>
      <c r="O883" s="77" t="s">
        <v>583</v>
      </c>
      <c r="P883" s="79">
        <v>45104.863576388889</v>
      </c>
      <c r="Q883" s="77" t="s">
        <v>1432</v>
      </c>
      <c r="R883" s="77">
        <v>0</v>
      </c>
      <c r="S883" s="77">
        <v>5</v>
      </c>
      <c r="T883" s="77">
        <v>1</v>
      </c>
      <c r="U883" s="77">
        <v>0</v>
      </c>
      <c r="V883" s="77">
        <v>220</v>
      </c>
      <c r="W883" s="82" t="s">
        <v>2029</v>
      </c>
      <c r="X883" s="77"/>
      <c r="Y883" s="77"/>
      <c r="Z883" s="77"/>
      <c r="AA883" s="77"/>
      <c r="AB883" s="77"/>
      <c r="AC883" s="82" t="s">
        <v>2746</v>
      </c>
      <c r="AD883" s="77" t="s">
        <v>2752</v>
      </c>
      <c r="AE883" s="80" t="str">
        <f>HYPERLINK("https://twitter.com/elevamiami/status/1673794215539617794")</f>
        <v>https://twitter.com/elevamiami/status/1673794215539617794</v>
      </c>
      <c r="AF883" s="79">
        <v>45104.863576388889</v>
      </c>
      <c r="AG883" s="85">
        <v>45104</v>
      </c>
      <c r="AH883" s="82" t="s">
        <v>3626</v>
      </c>
      <c r="AI883" s="77"/>
      <c r="AJ883" s="77"/>
      <c r="AK883" s="77"/>
      <c r="AL883" s="77"/>
      <c r="AM883" s="77"/>
      <c r="AN883" s="77"/>
      <c r="AO883" s="77"/>
      <c r="AP883" s="77"/>
      <c r="AQ883" s="77"/>
      <c r="AR883" s="77"/>
      <c r="AS883" s="77"/>
      <c r="AT883" s="77"/>
      <c r="AU883" s="77"/>
      <c r="AV883" s="80" t="str">
        <f>HYPERLINK("https://pbs.twimg.com/profile_images/1528113052566134784/SHBb5X_-_normal.jpg")</f>
        <v>https://pbs.twimg.com/profile_images/1528113052566134784/SHBb5X_-_normal.jpg</v>
      </c>
      <c r="AW883" s="82" t="s">
        <v>5216</v>
      </c>
      <c r="AX883" s="82" t="s">
        <v>5551</v>
      </c>
      <c r="AY883" s="82" t="s">
        <v>5609</v>
      </c>
      <c r="AZ883" s="82" t="s">
        <v>5551</v>
      </c>
      <c r="BA883" s="82" t="s">
        <v>5615</v>
      </c>
      <c r="BB883" s="82" t="s">
        <v>5615</v>
      </c>
      <c r="BC883" s="82" t="s">
        <v>5551</v>
      </c>
      <c r="BD883" s="82" t="s">
        <v>5609</v>
      </c>
      <c r="BE883" s="77"/>
      <c r="BF883" s="77"/>
      <c r="BG883" s="77"/>
      <c r="BH883" s="77"/>
      <c r="BI883" s="77"/>
    </row>
    <row r="884" spans="1:61" x14ac:dyDescent="0.25">
      <c r="A884" s="62" t="s">
        <v>522</v>
      </c>
      <c r="B884" s="62" t="s">
        <v>522</v>
      </c>
      <c r="C884" s="63"/>
      <c r="D884" s="64"/>
      <c r="E884" s="65"/>
      <c r="F884" s="66"/>
      <c r="G884" s="63"/>
      <c r="H884" s="67"/>
      <c r="I884" s="68"/>
      <c r="J884" s="68"/>
      <c r="K884" s="32"/>
      <c r="L884" s="75">
        <v>884</v>
      </c>
      <c r="M884" s="75"/>
      <c r="N884" s="70"/>
      <c r="O884" s="77" t="s">
        <v>179</v>
      </c>
      <c r="P884" s="79">
        <v>45011.014178240737</v>
      </c>
      <c r="Q884" s="77" t="s">
        <v>1433</v>
      </c>
      <c r="R884" s="77">
        <v>0</v>
      </c>
      <c r="S884" s="77">
        <v>0</v>
      </c>
      <c r="T884" s="77">
        <v>0</v>
      </c>
      <c r="U884" s="77">
        <v>0</v>
      </c>
      <c r="V884" s="77">
        <v>10</v>
      </c>
      <c r="W884" s="82" t="s">
        <v>2030</v>
      </c>
      <c r="X884" s="77"/>
      <c r="Y884" s="77"/>
      <c r="Z884" s="77"/>
      <c r="AA884" s="77"/>
      <c r="AB884" s="77"/>
      <c r="AC884" s="82" t="s">
        <v>2720</v>
      </c>
      <c r="AD884" s="77" t="s">
        <v>2752</v>
      </c>
      <c r="AE884" s="80" t="str">
        <f>HYPERLINK("https://twitter.com/marcontainer/status/1639784334474244101")</f>
        <v>https://twitter.com/marcontainer/status/1639784334474244101</v>
      </c>
      <c r="AF884" s="79">
        <v>45011.014178240737</v>
      </c>
      <c r="AG884" s="85">
        <v>45011</v>
      </c>
      <c r="AH884" s="82" t="s">
        <v>3627</v>
      </c>
      <c r="AI884" s="77"/>
      <c r="AJ884" s="77"/>
      <c r="AK884" s="77"/>
      <c r="AL884" s="77"/>
      <c r="AM884" s="77"/>
      <c r="AN884" s="77"/>
      <c r="AO884" s="77"/>
      <c r="AP884" s="77"/>
      <c r="AQ884" s="77"/>
      <c r="AR884" s="77"/>
      <c r="AS884" s="77"/>
      <c r="AT884" s="77"/>
      <c r="AU884" s="77"/>
      <c r="AV884" s="80" t="str">
        <f>HYPERLINK("https://pbs.twimg.com/profile_images/1638789856712089600/qH1TlC4u_normal.jpg")</f>
        <v>https://pbs.twimg.com/profile_images/1638789856712089600/qH1TlC4u_normal.jpg</v>
      </c>
      <c r="AW884" s="82" t="s">
        <v>5217</v>
      </c>
      <c r="AX884" s="82" t="s">
        <v>5217</v>
      </c>
      <c r="AY884" s="77"/>
      <c r="AZ884" s="82" t="s">
        <v>5615</v>
      </c>
      <c r="BA884" s="82" t="s">
        <v>5615</v>
      </c>
      <c r="BB884" s="82" t="s">
        <v>5615</v>
      </c>
      <c r="BC884" s="82" t="s">
        <v>5217</v>
      </c>
      <c r="BD884" s="82" t="s">
        <v>6068</v>
      </c>
      <c r="BE884" s="77"/>
      <c r="BF884" s="77"/>
      <c r="BG884" s="77"/>
      <c r="BH884" s="77"/>
      <c r="BI884" s="77"/>
    </row>
    <row r="885" spans="1:61" x14ac:dyDescent="0.25">
      <c r="A885" s="62" t="s">
        <v>523</v>
      </c>
      <c r="B885" s="62" t="s">
        <v>523</v>
      </c>
      <c r="C885" s="63"/>
      <c r="D885" s="64"/>
      <c r="E885" s="65"/>
      <c r="F885" s="66"/>
      <c r="G885" s="63"/>
      <c r="H885" s="67"/>
      <c r="I885" s="68"/>
      <c r="J885" s="68"/>
      <c r="K885" s="32"/>
      <c r="L885" s="75">
        <v>885</v>
      </c>
      <c r="M885" s="75"/>
      <c r="N885" s="70"/>
      <c r="O885" s="77" t="s">
        <v>179</v>
      </c>
      <c r="P885" s="79">
        <v>45174.08761574074</v>
      </c>
      <c r="Q885" s="77" t="s">
        <v>1434</v>
      </c>
      <c r="R885" s="77">
        <v>0</v>
      </c>
      <c r="S885" s="77">
        <v>0</v>
      </c>
      <c r="T885" s="77">
        <v>0</v>
      </c>
      <c r="U885" s="77">
        <v>0</v>
      </c>
      <c r="V885" s="77">
        <v>11</v>
      </c>
      <c r="W885" s="82" t="s">
        <v>1790</v>
      </c>
      <c r="X885" s="77"/>
      <c r="Y885" s="77"/>
      <c r="Z885" s="77"/>
      <c r="AA885" s="77" t="s">
        <v>2646</v>
      </c>
      <c r="AB885" s="77" t="s">
        <v>2713</v>
      </c>
      <c r="AC885" s="82" t="s">
        <v>2720</v>
      </c>
      <c r="AD885" s="77" t="s">
        <v>2752</v>
      </c>
      <c r="AE885" s="80" t="str">
        <f>HYPERLINK("https://twitter.com/onegotk/status/1698880170516508920")</f>
        <v>https://twitter.com/onegotk/status/1698880170516508920</v>
      </c>
      <c r="AF885" s="79">
        <v>45174.08761574074</v>
      </c>
      <c r="AG885" s="85">
        <v>45174</v>
      </c>
      <c r="AH885" s="82" t="s">
        <v>3628</v>
      </c>
      <c r="AI885" s="77" t="b">
        <v>0</v>
      </c>
      <c r="AJ885" s="77"/>
      <c r="AK885" s="77"/>
      <c r="AL885" s="77"/>
      <c r="AM885" s="77"/>
      <c r="AN885" s="77"/>
      <c r="AO885" s="77"/>
      <c r="AP885" s="77"/>
      <c r="AQ885" s="77" t="s">
        <v>4272</v>
      </c>
      <c r="AR885" s="77">
        <v>10933</v>
      </c>
      <c r="AS885" s="77"/>
      <c r="AT885" s="77"/>
      <c r="AU885" s="77"/>
      <c r="AV885" s="80" t="str">
        <f>HYPERLINK("https://pbs.twimg.com/ext_tw_video_thumb/1698880117248856064/pu/img/34SOjx6GycW-wrpL.jpg")</f>
        <v>https://pbs.twimg.com/ext_tw_video_thumb/1698880117248856064/pu/img/34SOjx6GycW-wrpL.jpg</v>
      </c>
      <c r="AW885" s="82" t="s">
        <v>5218</v>
      </c>
      <c r="AX885" s="82" t="s">
        <v>5218</v>
      </c>
      <c r="AY885" s="77"/>
      <c r="AZ885" s="82" t="s">
        <v>5615</v>
      </c>
      <c r="BA885" s="82" t="s">
        <v>5615</v>
      </c>
      <c r="BB885" s="82" t="s">
        <v>5615</v>
      </c>
      <c r="BC885" s="82" t="s">
        <v>5218</v>
      </c>
      <c r="BD885" s="82" t="s">
        <v>6069</v>
      </c>
      <c r="BE885" s="77"/>
      <c r="BF885" s="77"/>
      <c r="BG885" s="77"/>
      <c r="BH885" s="77"/>
      <c r="BI885" s="77"/>
    </row>
    <row r="886" spans="1:61" x14ac:dyDescent="0.25">
      <c r="A886" s="62" t="s">
        <v>524</v>
      </c>
      <c r="B886" s="62" t="s">
        <v>524</v>
      </c>
      <c r="C886" s="63"/>
      <c r="D886" s="64"/>
      <c r="E886" s="65"/>
      <c r="F886" s="66"/>
      <c r="G886" s="63"/>
      <c r="H886" s="67"/>
      <c r="I886" s="68"/>
      <c r="J886" s="68"/>
      <c r="K886" s="32"/>
      <c r="L886" s="75">
        <v>886</v>
      </c>
      <c r="M886" s="75"/>
      <c r="N886" s="70"/>
      <c r="O886" s="77" t="s">
        <v>179</v>
      </c>
      <c r="P886" s="79">
        <v>45181.729166666664</v>
      </c>
      <c r="Q886" s="77" t="s">
        <v>1435</v>
      </c>
      <c r="R886" s="77">
        <v>0</v>
      </c>
      <c r="S886" s="77">
        <v>0</v>
      </c>
      <c r="T886" s="77">
        <v>0</v>
      </c>
      <c r="U886" s="77">
        <v>0</v>
      </c>
      <c r="V886" s="77">
        <v>10</v>
      </c>
      <c r="W886" s="82" t="s">
        <v>2031</v>
      </c>
      <c r="X886" s="80" t="str">
        <f>HYPERLINK("https://youtu.be/kacmueOF6uQ")</f>
        <v>https://youtu.be/kacmueOF6uQ</v>
      </c>
      <c r="Y886" s="77" t="s">
        <v>2153</v>
      </c>
      <c r="Z886" s="77"/>
      <c r="AA886" s="77" t="s">
        <v>2647</v>
      </c>
      <c r="AB886" s="77" t="s">
        <v>2714</v>
      </c>
      <c r="AC886" s="82" t="s">
        <v>2722</v>
      </c>
      <c r="AD886" s="77" t="s">
        <v>2752</v>
      </c>
      <c r="AE886" s="80" t="str">
        <f>HYPERLINK("https://twitter.com/descomplicaft/status/1701649372608618619")</f>
        <v>https://twitter.com/descomplicaft/status/1701649372608618619</v>
      </c>
      <c r="AF886" s="79">
        <v>45181.729166666664</v>
      </c>
      <c r="AG886" s="85">
        <v>45181</v>
      </c>
      <c r="AH886" s="82" t="s">
        <v>3629</v>
      </c>
      <c r="AI886" s="77" t="b">
        <v>0</v>
      </c>
      <c r="AJ886" s="77"/>
      <c r="AK886" s="77"/>
      <c r="AL886" s="77"/>
      <c r="AM886" s="77"/>
      <c r="AN886" s="77"/>
      <c r="AO886" s="77"/>
      <c r="AP886" s="77"/>
      <c r="AQ886" s="77" t="s">
        <v>4273</v>
      </c>
      <c r="AR886" s="77"/>
      <c r="AS886" s="77"/>
      <c r="AT886" s="77"/>
      <c r="AU886" s="77"/>
      <c r="AV886" s="80" t="str">
        <f>HYPERLINK("https://pbs.twimg.com/media/F5scGcVbsAECr_x.jpg")</f>
        <v>https://pbs.twimg.com/media/F5scGcVbsAECr_x.jpg</v>
      </c>
      <c r="AW886" s="82" t="s">
        <v>5219</v>
      </c>
      <c r="AX886" s="82" t="s">
        <v>5219</v>
      </c>
      <c r="AY886" s="77"/>
      <c r="AZ886" s="82" t="s">
        <v>5615</v>
      </c>
      <c r="BA886" s="82" t="s">
        <v>5615</v>
      </c>
      <c r="BB886" s="82" t="s">
        <v>5615</v>
      </c>
      <c r="BC886" s="82" t="s">
        <v>5219</v>
      </c>
      <c r="BD886" s="82" t="s">
        <v>6070</v>
      </c>
      <c r="BE886" s="77"/>
      <c r="BF886" s="77"/>
      <c r="BG886" s="77"/>
      <c r="BH886" s="77"/>
      <c r="BI886" s="77"/>
    </row>
    <row r="887" spans="1:61" x14ac:dyDescent="0.25">
      <c r="A887" s="62" t="s">
        <v>525</v>
      </c>
      <c r="B887" s="62" t="s">
        <v>525</v>
      </c>
      <c r="C887" s="63"/>
      <c r="D887" s="64"/>
      <c r="E887" s="65"/>
      <c r="F887" s="66"/>
      <c r="G887" s="63"/>
      <c r="H887" s="67"/>
      <c r="I887" s="68"/>
      <c r="J887" s="68"/>
      <c r="K887" s="32"/>
      <c r="L887" s="75">
        <v>887</v>
      </c>
      <c r="M887" s="75"/>
      <c r="N887" s="70"/>
      <c r="O887" s="77" t="s">
        <v>179</v>
      </c>
      <c r="P887" s="79">
        <v>45004.566527777781</v>
      </c>
      <c r="Q887" s="77" t="s">
        <v>1436</v>
      </c>
      <c r="R887" s="77">
        <v>0</v>
      </c>
      <c r="S887" s="77">
        <v>0</v>
      </c>
      <c r="T887" s="77">
        <v>0</v>
      </c>
      <c r="U887" s="77">
        <v>0</v>
      </c>
      <c r="V887" s="77">
        <v>9</v>
      </c>
      <c r="W887" s="82" t="s">
        <v>2032</v>
      </c>
      <c r="X887" s="80" t="str">
        <f>HYPERLINK("https://enriquecaacoes.com.br/origem-e-evolucao-do-capitalismo/")</f>
        <v>https://enriquecaacoes.com.br/origem-e-evolucao-do-capitalismo/</v>
      </c>
      <c r="Y887" s="77" t="s">
        <v>2129</v>
      </c>
      <c r="Z887" s="77"/>
      <c r="AA887" s="77"/>
      <c r="AB887" s="77"/>
      <c r="AC887" s="82" t="s">
        <v>2747</v>
      </c>
      <c r="AD887" s="77" t="s">
        <v>2752</v>
      </c>
      <c r="AE887" s="80" t="str">
        <f>HYPERLINK("https://twitter.com/eacoes/status/1637447782016471040")</f>
        <v>https://twitter.com/eacoes/status/1637447782016471040</v>
      </c>
      <c r="AF887" s="79">
        <v>45004.566527777781</v>
      </c>
      <c r="AG887" s="85">
        <v>45004</v>
      </c>
      <c r="AH887" s="82" t="s">
        <v>3630</v>
      </c>
      <c r="AI887" s="77" t="b">
        <v>0</v>
      </c>
      <c r="AJ887" s="77"/>
      <c r="AK887" s="77"/>
      <c r="AL887" s="77"/>
      <c r="AM887" s="77"/>
      <c r="AN887" s="77"/>
      <c r="AO887" s="77"/>
      <c r="AP887" s="77"/>
      <c r="AQ887" s="77"/>
      <c r="AR887" s="77"/>
      <c r="AS887" s="77"/>
      <c r="AT887" s="77"/>
      <c r="AU887" s="77"/>
      <c r="AV887" s="80" t="str">
        <f>HYPERLINK("https://pbs.twimg.com/profile_images/1288565039629246468/FpQ5WkT9_normal.jpg")</f>
        <v>https://pbs.twimg.com/profile_images/1288565039629246468/FpQ5WkT9_normal.jpg</v>
      </c>
      <c r="AW887" s="82" t="s">
        <v>5220</v>
      </c>
      <c r="AX887" s="82" t="s">
        <v>5220</v>
      </c>
      <c r="AY887" s="77"/>
      <c r="AZ887" s="82" t="s">
        <v>5615</v>
      </c>
      <c r="BA887" s="82" t="s">
        <v>5615</v>
      </c>
      <c r="BB887" s="82" t="s">
        <v>5615</v>
      </c>
      <c r="BC887" s="82" t="s">
        <v>5220</v>
      </c>
      <c r="BD887" s="82" t="s">
        <v>6071</v>
      </c>
      <c r="BE887" s="77"/>
      <c r="BF887" s="77"/>
      <c r="BG887" s="77"/>
      <c r="BH887" s="77"/>
      <c r="BI887" s="77"/>
    </row>
    <row r="888" spans="1:61" x14ac:dyDescent="0.25">
      <c r="A888" s="62" t="s">
        <v>525</v>
      </c>
      <c r="B888" s="62" t="s">
        <v>525</v>
      </c>
      <c r="C888" s="63"/>
      <c r="D888" s="64"/>
      <c r="E888" s="65"/>
      <c r="F888" s="66"/>
      <c r="G888" s="63"/>
      <c r="H888" s="67"/>
      <c r="I888" s="68"/>
      <c r="J888" s="68"/>
      <c r="K888" s="32"/>
      <c r="L888" s="75">
        <v>888</v>
      </c>
      <c r="M888" s="75"/>
      <c r="N888" s="70"/>
      <c r="O888" s="77" t="s">
        <v>179</v>
      </c>
      <c r="P888" s="79">
        <v>45034.524409722224</v>
      </c>
      <c r="Q888" s="77" t="s">
        <v>1437</v>
      </c>
      <c r="R888" s="77">
        <v>0</v>
      </c>
      <c r="S888" s="77">
        <v>0</v>
      </c>
      <c r="T888" s="77">
        <v>0</v>
      </c>
      <c r="U888" s="77">
        <v>0</v>
      </c>
      <c r="V888" s="77">
        <v>8</v>
      </c>
      <c r="W888" s="82" t="s">
        <v>2033</v>
      </c>
      <c r="X888" s="80" t="str">
        <f>HYPERLINK("https://enriquecaacoes.com.br/8-fatos-sobre-donald-trump/")</f>
        <v>https://enriquecaacoes.com.br/8-fatos-sobre-donald-trump/</v>
      </c>
      <c r="Y888" s="77" t="s">
        <v>2129</v>
      </c>
      <c r="Z888" s="77"/>
      <c r="AA888" s="77" t="s">
        <v>2648</v>
      </c>
      <c r="AB888" s="77" t="s">
        <v>2714</v>
      </c>
      <c r="AC888" s="82" t="s">
        <v>2722</v>
      </c>
      <c r="AD888" s="77" t="s">
        <v>2752</v>
      </c>
      <c r="AE888" s="80" t="str">
        <f>HYPERLINK("https://twitter.com/eacoes/status/1648304156032086017")</f>
        <v>https://twitter.com/eacoes/status/1648304156032086017</v>
      </c>
      <c r="AF888" s="79">
        <v>45034.524409722224</v>
      </c>
      <c r="AG888" s="85">
        <v>45034</v>
      </c>
      <c r="AH888" s="82" t="s">
        <v>3631</v>
      </c>
      <c r="AI888" s="77" t="b">
        <v>0</v>
      </c>
      <c r="AJ888" s="77"/>
      <c r="AK888" s="77"/>
      <c r="AL888" s="77"/>
      <c r="AM888" s="77"/>
      <c r="AN888" s="77"/>
      <c r="AO888" s="77"/>
      <c r="AP888" s="77"/>
      <c r="AQ888" s="77" t="s">
        <v>4274</v>
      </c>
      <c r="AR888" s="77"/>
      <c r="AS888" s="77"/>
      <c r="AT888" s="77"/>
      <c r="AU888" s="77"/>
      <c r="AV888" s="80" t="str">
        <f>HYPERLINK("https://pbs.twimg.com/media/Ft_zldyWIAMa9aX.jpg")</f>
        <v>https://pbs.twimg.com/media/Ft_zldyWIAMa9aX.jpg</v>
      </c>
      <c r="AW888" s="82" t="s">
        <v>5221</v>
      </c>
      <c r="AX888" s="82" t="s">
        <v>5221</v>
      </c>
      <c r="AY888" s="77"/>
      <c r="AZ888" s="82" t="s">
        <v>5615</v>
      </c>
      <c r="BA888" s="82" t="s">
        <v>5615</v>
      </c>
      <c r="BB888" s="82" t="s">
        <v>5615</v>
      </c>
      <c r="BC888" s="82" t="s">
        <v>5221</v>
      </c>
      <c r="BD888" s="82" t="s">
        <v>6071</v>
      </c>
      <c r="BE888" s="77"/>
      <c r="BF888" s="77"/>
      <c r="BG888" s="77"/>
      <c r="BH888" s="77"/>
      <c r="BI888" s="77"/>
    </row>
    <row r="889" spans="1:61" x14ac:dyDescent="0.25">
      <c r="A889" s="62" t="s">
        <v>525</v>
      </c>
      <c r="B889" s="62" t="s">
        <v>525</v>
      </c>
      <c r="C889" s="63"/>
      <c r="D889" s="64"/>
      <c r="E889" s="65"/>
      <c r="F889" s="66"/>
      <c r="G889" s="63"/>
      <c r="H889" s="67"/>
      <c r="I889" s="68"/>
      <c r="J889" s="68"/>
      <c r="K889" s="32"/>
      <c r="L889" s="75">
        <v>889</v>
      </c>
      <c r="M889" s="75"/>
      <c r="N889" s="70"/>
      <c r="O889" s="77" t="s">
        <v>179</v>
      </c>
      <c r="P889" s="79">
        <v>45032.527442129627</v>
      </c>
      <c r="Q889" s="77" t="s">
        <v>1438</v>
      </c>
      <c r="R889" s="77">
        <v>0</v>
      </c>
      <c r="S889" s="77">
        <v>0</v>
      </c>
      <c r="T889" s="77">
        <v>0</v>
      </c>
      <c r="U889" s="77">
        <v>0</v>
      </c>
      <c r="V889" s="77">
        <v>7</v>
      </c>
      <c r="W889" s="82" t="s">
        <v>2034</v>
      </c>
      <c r="X889" s="80" t="str">
        <f>HYPERLINK("https://enriquecaacoes.com.br/8-fatos-interessantes-sobre-warren-buffet/")</f>
        <v>https://enriquecaacoes.com.br/8-fatos-interessantes-sobre-warren-buffet/</v>
      </c>
      <c r="Y889" s="77" t="s">
        <v>2129</v>
      </c>
      <c r="Z889" s="77"/>
      <c r="AA889" s="77" t="s">
        <v>2649</v>
      </c>
      <c r="AB889" s="77" t="s">
        <v>2714</v>
      </c>
      <c r="AC889" s="82" t="s">
        <v>2722</v>
      </c>
      <c r="AD889" s="77" t="s">
        <v>2752</v>
      </c>
      <c r="AE889" s="80" t="str">
        <f>HYPERLINK("https://twitter.com/eacoes/status/1647580477975408640")</f>
        <v>https://twitter.com/eacoes/status/1647580477975408640</v>
      </c>
      <c r="AF889" s="79">
        <v>45032.527442129627</v>
      </c>
      <c r="AG889" s="85">
        <v>45032</v>
      </c>
      <c r="AH889" s="82" t="s">
        <v>3632</v>
      </c>
      <c r="AI889" s="77" t="b">
        <v>0</v>
      </c>
      <c r="AJ889" s="77"/>
      <c r="AK889" s="77"/>
      <c r="AL889" s="77"/>
      <c r="AM889" s="77"/>
      <c r="AN889" s="77"/>
      <c r="AO889" s="77"/>
      <c r="AP889" s="77"/>
      <c r="AQ889" s="77" t="s">
        <v>4275</v>
      </c>
      <c r="AR889" s="77"/>
      <c r="AS889" s="77"/>
      <c r="AT889" s="77"/>
      <c r="AU889" s="77"/>
      <c r="AV889" s="80" t="str">
        <f>HYPERLINK("https://pbs.twimg.com/media/Ft1hig0X0AM0LNp.jpg")</f>
        <v>https://pbs.twimg.com/media/Ft1hig0X0AM0LNp.jpg</v>
      </c>
      <c r="AW889" s="82" t="s">
        <v>5222</v>
      </c>
      <c r="AX889" s="82" t="s">
        <v>5222</v>
      </c>
      <c r="AY889" s="77"/>
      <c r="AZ889" s="82" t="s">
        <v>5615</v>
      </c>
      <c r="BA889" s="82" t="s">
        <v>5615</v>
      </c>
      <c r="BB889" s="82" t="s">
        <v>5615</v>
      </c>
      <c r="BC889" s="82" t="s">
        <v>5222</v>
      </c>
      <c r="BD889" s="82" t="s">
        <v>6071</v>
      </c>
      <c r="BE889" s="77"/>
      <c r="BF889" s="77"/>
      <c r="BG889" s="77"/>
      <c r="BH889" s="77"/>
      <c r="BI889" s="77"/>
    </row>
    <row r="890" spans="1:61" x14ac:dyDescent="0.25">
      <c r="A890" s="62" t="s">
        <v>525</v>
      </c>
      <c r="B890" s="62" t="s">
        <v>525</v>
      </c>
      <c r="C890" s="63"/>
      <c r="D890" s="64"/>
      <c r="E890" s="65"/>
      <c r="F890" s="66"/>
      <c r="G890" s="63"/>
      <c r="H890" s="67"/>
      <c r="I890" s="68"/>
      <c r="J890" s="68"/>
      <c r="K890" s="32"/>
      <c r="L890" s="75">
        <v>890</v>
      </c>
      <c r="M890" s="75"/>
      <c r="N890" s="70"/>
      <c r="O890" s="77" t="s">
        <v>179</v>
      </c>
      <c r="P890" s="79">
        <v>45026.445613425924</v>
      </c>
      <c r="Q890" s="77" t="s">
        <v>1439</v>
      </c>
      <c r="R890" s="77">
        <v>0</v>
      </c>
      <c r="S890" s="77">
        <v>1</v>
      </c>
      <c r="T890" s="77">
        <v>0</v>
      </c>
      <c r="U890" s="77">
        <v>0</v>
      </c>
      <c r="V890" s="77">
        <v>30</v>
      </c>
      <c r="W890" s="82" t="s">
        <v>2035</v>
      </c>
      <c r="X890" s="80" t="str">
        <f>HYPERLINK("https://enriquecaacoes.com.br/7-dicas-para-investir-como-luiz-barsi/")</f>
        <v>https://enriquecaacoes.com.br/7-dicas-para-investir-como-luiz-barsi/</v>
      </c>
      <c r="Y890" s="77" t="s">
        <v>2129</v>
      </c>
      <c r="Z890" s="77"/>
      <c r="AA890" s="77" t="s">
        <v>2650</v>
      </c>
      <c r="AB890" s="77" t="s">
        <v>2714</v>
      </c>
      <c r="AC890" s="82" t="s">
        <v>2722</v>
      </c>
      <c r="AD890" s="77" t="s">
        <v>2752</v>
      </c>
      <c r="AE890" s="80" t="str">
        <f>HYPERLINK("https://twitter.com/eacoes/status/1645376497291603968")</f>
        <v>https://twitter.com/eacoes/status/1645376497291603968</v>
      </c>
      <c r="AF890" s="79">
        <v>45026.445613425924</v>
      </c>
      <c r="AG890" s="85">
        <v>45026</v>
      </c>
      <c r="AH890" s="82" t="s">
        <v>3633</v>
      </c>
      <c r="AI890" s="77" t="b">
        <v>0</v>
      </c>
      <c r="AJ890" s="77"/>
      <c r="AK890" s="77"/>
      <c r="AL890" s="77"/>
      <c r="AM890" s="77"/>
      <c r="AN890" s="77"/>
      <c r="AO890" s="77"/>
      <c r="AP890" s="77"/>
      <c r="AQ890" s="77" t="s">
        <v>4276</v>
      </c>
      <c r="AR890" s="77"/>
      <c r="AS890" s="77"/>
      <c r="AT890" s="77"/>
      <c r="AU890" s="77"/>
      <c r="AV890" s="80" t="str">
        <f>HYPERLINK("https://pbs.twimg.com/media/FtWM-0DXwAApR8K.jpg")</f>
        <v>https://pbs.twimg.com/media/FtWM-0DXwAApR8K.jpg</v>
      </c>
      <c r="AW890" s="82" t="s">
        <v>5223</v>
      </c>
      <c r="AX890" s="82" t="s">
        <v>5223</v>
      </c>
      <c r="AY890" s="77"/>
      <c r="AZ890" s="82" t="s">
        <v>5615</v>
      </c>
      <c r="BA890" s="82" t="s">
        <v>5615</v>
      </c>
      <c r="BB890" s="82" t="s">
        <v>5615</v>
      </c>
      <c r="BC890" s="82" t="s">
        <v>5223</v>
      </c>
      <c r="BD890" s="82" t="s">
        <v>6071</v>
      </c>
      <c r="BE890" s="77"/>
      <c r="BF890" s="77"/>
      <c r="BG890" s="77"/>
      <c r="BH890" s="77"/>
      <c r="BI890" s="77"/>
    </row>
    <row r="891" spans="1:61" x14ac:dyDescent="0.25">
      <c r="A891" s="62" t="s">
        <v>526</v>
      </c>
      <c r="B891" s="62" t="s">
        <v>526</v>
      </c>
      <c r="C891" s="63"/>
      <c r="D891" s="64"/>
      <c r="E891" s="65"/>
      <c r="F891" s="66"/>
      <c r="G891" s="63"/>
      <c r="H891" s="67"/>
      <c r="I891" s="68"/>
      <c r="J891" s="68"/>
      <c r="K891" s="32"/>
      <c r="L891" s="75">
        <v>891</v>
      </c>
      <c r="M891" s="75"/>
      <c r="N891" s="70"/>
      <c r="O891" s="77" t="s">
        <v>179</v>
      </c>
      <c r="P891" s="79">
        <v>44962.709791666668</v>
      </c>
      <c r="Q891" s="77" t="s">
        <v>1440</v>
      </c>
      <c r="R891" s="77">
        <v>0</v>
      </c>
      <c r="S891" s="77">
        <v>0</v>
      </c>
      <c r="T891" s="77">
        <v>0</v>
      </c>
      <c r="U891" s="77">
        <v>0</v>
      </c>
      <c r="V891" s="77">
        <v>5</v>
      </c>
      <c r="W891" s="82" t="s">
        <v>2036</v>
      </c>
      <c r="X891" s="80" t="str">
        <f>HYPERLINK("https://twitter.com/i/broadcasts/1BRJjZAnkVdJw")</f>
        <v>https://twitter.com/i/broadcasts/1BRJjZAnkVdJw</v>
      </c>
      <c r="Y891" s="77" t="s">
        <v>2171</v>
      </c>
      <c r="Z891" s="77"/>
      <c r="AA891" s="77"/>
      <c r="AB891" s="77"/>
      <c r="AC891" s="82" t="s">
        <v>2748</v>
      </c>
      <c r="AD891" s="77" t="s">
        <v>2752</v>
      </c>
      <c r="AE891" s="80" t="str">
        <f>HYPERLINK("https://twitter.com/apenasdanmendes/status/1622279407996911616")</f>
        <v>https://twitter.com/apenasdanmendes/status/1622279407996911616</v>
      </c>
      <c r="AF891" s="79">
        <v>44962.709791666668</v>
      </c>
      <c r="AG891" s="85">
        <v>44962</v>
      </c>
      <c r="AH891" s="82" t="s">
        <v>3634</v>
      </c>
      <c r="AI891" s="77" t="b">
        <v>0</v>
      </c>
      <c r="AJ891" s="77"/>
      <c r="AK891" s="77"/>
      <c r="AL891" s="77"/>
      <c r="AM891" s="77"/>
      <c r="AN891" s="77"/>
      <c r="AO891" s="77"/>
      <c r="AP891" s="77"/>
      <c r="AQ891" s="77"/>
      <c r="AR891" s="77"/>
      <c r="AS891" s="77"/>
      <c r="AT891" s="77"/>
      <c r="AU891" s="77"/>
      <c r="AV891" s="80" t="str">
        <f>HYPERLINK("https://pbs.twimg.com/profile_images/1504709210180837400/okKkFMhc_normal.jpg")</f>
        <v>https://pbs.twimg.com/profile_images/1504709210180837400/okKkFMhc_normal.jpg</v>
      </c>
      <c r="AW891" s="82" t="s">
        <v>5224</v>
      </c>
      <c r="AX891" s="82" t="s">
        <v>5224</v>
      </c>
      <c r="AY891" s="77"/>
      <c r="AZ891" s="82" t="s">
        <v>5615</v>
      </c>
      <c r="BA891" s="82" t="s">
        <v>5615</v>
      </c>
      <c r="BB891" s="82" t="s">
        <v>5615</v>
      </c>
      <c r="BC891" s="82" t="s">
        <v>5224</v>
      </c>
      <c r="BD891" s="77">
        <v>408509697</v>
      </c>
      <c r="BE891" s="77"/>
      <c r="BF891" s="77"/>
      <c r="BG891" s="77"/>
      <c r="BH891" s="77"/>
      <c r="BI891" s="77"/>
    </row>
    <row r="892" spans="1:61" x14ac:dyDescent="0.25">
      <c r="A892" s="62" t="s">
        <v>526</v>
      </c>
      <c r="B892" s="62" t="s">
        <v>526</v>
      </c>
      <c r="C892" s="63"/>
      <c r="D892" s="64"/>
      <c r="E892" s="65"/>
      <c r="F892" s="66"/>
      <c r="G892" s="63"/>
      <c r="H892" s="67"/>
      <c r="I892" s="68"/>
      <c r="J892" s="68"/>
      <c r="K892" s="32"/>
      <c r="L892" s="75">
        <v>892</v>
      </c>
      <c r="M892" s="75"/>
      <c r="N892" s="70"/>
      <c r="O892" s="77" t="s">
        <v>179</v>
      </c>
      <c r="P892" s="79">
        <v>44960.650092592594</v>
      </c>
      <c r="Q892" s="77" t="s">
        <v>1441</v>
      </c>
      <c r="R892" s="77">
        <v>0</v>
      </c>
      <c r="S892" s="77">
        <v>0</v>
      </c>
      <c r="T892" s="77">
        <v>0</v>
      </c>
      <c r="U892" s="77">
        <v>0</v>
      </c>
      <c r="V892" s="77">
        <v>2</v>
      </c>
      <c r="W892" s="82" t="s">
        <v>2037</v>
      </c>
      <c r="X892" s="80" t="str">
        <f>HYPERLINK("https://twitter.com/i/broadcasts/1LyGBqOQWVYKN")</f>
        <v>https://twitter.com/i/broadcasts/1LyGBqOQWVYKN</v>
      </c>
      <c r="Y892" s="77" t="s">
        <v>2171</v>
      </c>
      <c r="Z892" s="77"/>
      <c r="AA892" s="77"/>
      <c r="AB892" s="77"/>
      <c r="AC892" s="82" t="s">
        <v>2748</v>
      </c>
      <c r="AD892" s="77" t="s">
        <v>2752</v>
      </c>
      <c r="AE892" s="80" t="str">
        <f>HYPERLINK("https://twitter.com/apenasdanmendes/status/1621533000067604483")</f>
        <v>https://twitter.com/apenasdanmendes/status/1621533000067604483</v>
      </c>
      <c r="AF892" s="79">
        <v>44960.650092592594</v>
      </c>
      <c r="AG892" s="85">
        <v>44960</v>
      </c>
      <c r="AH892" s="82" t="s">
        <v>3635</v>
      </c>
      <c r="AI892" s="77" t="b">
        <v>0</v>
      </c>
      <c r="AJ892" s="77"/>
      <c r="AK892" s="77"/>
      <c r="AL892" s="77"/>
      <c r="AM892" s="77"/>
      <c r="AN892" s="77"/>
      <c r="AO892" s="77"/>
      <c r="AP892" s="77"/>
      <c r="AQ892" s="77"/>
      <c r="AR892" s="77"/>
      <c r="AS892" s="77"/>
      <c r="AT892" s="77"/>
      <c r="AU892" s="77"/>
      <c r="AV892" s="80" t="str">
        <f>HYPERLINK("https://pbs.twimg.com/profile_images/1504709210180837400/okKkFMhc_normal.jpg")</f>
        <v>https://pbs.twimg.com/profile_images/1504709210180837400/okKkFMhc_normal.jpg</v>
      </c>
      <c r="AW892" s="82" t="s">
        <v>5225</v>
      </c>
      <c r="AX892" s="82" t="s">
        <v>5225</v>
      </c>
      <c r="AY892" s="77"/>
      <c r="AZ892" s="82" t="s">
        <v>5615</v>
      </c>
      <c r="BA892" s="82" t="s">
        <v>5615</v>
      </c>
      <c r="BB892" s="82" t="s">
        <v>5615</v>
      </c>
      <c r="BC892" s="82" t="s">
        <v>5225</v>
      </c>
      <c r="BD892" s="77">
        <v>408509697</v>
      </c>
      <c r="BE892" s="77"/>
      <c r="BF892" s="77"/>
      <c r="BG892" s="77"/>
      <c r="BH892" s="77"/>
      <c r="BI892" s="77"/>
    </row>
    <row r="893" spans="1:61" x14ac:dyDescent="0.25">
      <c r="A893" s="62" t="s">
        <v>526</v>
      </c>
      <c r="B893" s="62" t="s">
        <v>526</v>
      </c>
      <c r="C893" s="63"/>
      <c r="D893" s="64"/>
      <c r="E893" s="65"/>
      <c r="F893" s="66"/>
      <c r="G893" s="63"/>
      <c r="H893" s="67"/>
      <c r="I893" s="68"/>
      <c r="J893" s="68"/>
      <c r="K893" s="32"/>
      <c r="L893" s="75">
        <v>893</v>
      </c>
      <c r="M893" s="75"/>
      <c r="N893" s="70"/>
      <c r="O893" s="77" t="s">
        <v>179</v>
      </c>
      <c r="P893" s="79">
        <v>44959.833506944444</v>
      </c>
      <c r="Q893" s="77" t="s">
        <v>1442</v>
      </c>
      <c r="R893" s="77">
        <v>0</v>
      </c>
      <c r="S893" s="77">
        <v>0</v>
      </c>
      <c r="T893" s="77">
        <v>0</v>
      </c>
      <c r="U893" s="77">
        <v>0</v>
      </c>
      <c r="V893" s="77">
        <v>34</v>
      </c>
      <c r="W893" s="82" t="s">
        <v>2038</v>
      </c>
      <c r="X893" s="80" t="str">
        <f>HYPERLINK("https://twitter.com/i/broadcasts/1vAxRAXMMNqJl")</f>
        <v>https://twitter.com/i/broadcasts/1vAxRAXMMNqJl</v>
      </c>
      <c r="Y893" s="77" t="s">
        <v>2171</v>
      </c>
      <c r="Z893" s="77"/>
      <c r="AA893" s="77"/>
      <c r="AB893" s="77"/>
      <c r="AC893" s="82" t="s">
        <v>2748</v>
      </c>
      <c r="AD893" s="77" t="s">
        <v>2752</v>
      </c>
      <c r="AE893" s="80" t="str">
        <f>HYPERLINK("https://twitter.com/apenasdanmendes/status/1621237077525561344")</f>
        <v>https://twitter.com/apenasdanmendes/status/1621237077525561344</v>
      </c>
      <c r="AF893" s="79">
        <v>44959.833506944444</v>
      </c>
      <c r="AG893" s="85">
        <v>44959</v>
      </c>
      <c r="AH893" s="82" t="s">
        <v>3636</v>
      </c>
      <c r="AI893" s="77" t="b">
        <v>0</v>
      </c>
      <c r="AJ893" s="77"/>
      <c r="AK893" s="77"/>
      <c r="AL893" s="77"/>
      <c r="AM893" s="77"/>
      <c r="AN893" s="77"/>
      <c r="AO893" s="77"/>
      <c r="AP893" s="77"/>
      <c r="AQ893" s="77"/>
      <c r="AR893" s="77"/>
      <c r="AS893" s="77"/>
      <c r="AT893" s="77"/>
      <c r="AU893" s="77"/>
      <c r="AV893" s="80" t="str">
        <f>HYPERLINK("https://pbs.twimg.com/profile_images/1504709210180837400/okKkFMhc_normal.jpg")</f>
        <v>https://pbs.twimg.com/profile_images/1504709210180837400/okKkFMhc_normal.jpg</v>
      </c>
      <c r="AW893" s="82" t="s">
        <v>5226</v>
      </c>
      <c r="AX893" s="82" t="s">
        <v>5226</v>
      </c>
      <c r="AY893" s="77"/>
      <c r="AZ893" s="82" t="s">
        <v>5615</v>
      </c>
      <c r="BA893" s="82" t="s">
        <v>5615</v>
      </c>
      <c r="BB893" s="82" t="s">
        <v>5615</v>
      </c>
      <c r="BC893" s="82" t="s">
        <v>5226</v>
      </c>
      <c r="BD893" s="77">
        <v>408509697</v>
      </c>
      <c r="BE893" s="77"/>
      <c r="BF893" s="77"/>
      <c r="BG893" s="77"/>
      <c r="BH893" s="77"/>
      <c r="BI893" s="77"/>
    </row>
    <row r="894" spans="1:61" x14ac:dyDescent="0.25">
      <c r="A894" s="62" t="s">
        <v>526</v>
      </c>
      <c r="B894" s="62" t="s">
        <v>526</v>
      </c>
      <c r="C894" s="63"/>
      <c r="D894" s="64"/>
      <c r="E894" s="65"/>
      <c r="F894" s="66"/>
      <c r="G894" s="63"/>
      <c r="H894" s="67"/>
      <c r="I894" s="68"/>
      <c r="J894" s="68"/>
      <c r="K894" s="32"/>
      <c r="L894" s="75">
        <v>894</v>
      </c>
      <c r="M894" s="75"/>
      <c r="N894" s="70"/>
      <c r="O894" s="77" t="s">
        <v>179</v>
      </c>
      <c r="P894" s="79">
        <v>44959.180706018517</v>
      </c>
      <c r="Q894" s="77" t="s">
        <v>1443</v>
      </c>
      <c r="R894" s="77">
        <v>0</v>
      </c>
      <c r="S894" s="77">
        <v>0</v>
      </c>
      <c r="T894" s="77">
        <v>0</v>
      </c>
      <c r="U894" s="77">
        <v>0</v>
      </c>
      <c r="V894" s="77">
        <v>6</v>
      </c>
      <c r="W894" s="82" t="s">
        <v>2039</v>
      </c>
      <c r="X894" s="80" t="str">
        <f>HYPERLINK("https://twitter.com/i/broadcasts/1ZkJzXnyqlgKv")</f>
        <v>https://twitter.com/i/broadcasts/1ZkJzXnyqlgKv</v>
      </c>
      <c r="Y894" s="77" t="s">
        <v>2171</v>
      </c>
      <c r="Z894" s="77"/>
      <c r="AA894" s="77"/>
      <c r="AB894" s="77"/>
      <c r="AC894" s="82" t="s">
        <v>2748</v>
      </c>
      <c r="AD894" s="77" t="s">
        <v>2752</v>
      </c>
      <c r="AE894" s="80" t="str">
        <f>HYPERLINK("https://twitter.com/apenasdanmendes/status/1621000510471016448")</f>
        <v>https://twitter.com/apenasdanmendes/status/1621000510471016448</v>
      </c>
      <c r="AF894" s="79">
        <v>44959.180706018517</v>
      </c>
      <c r="AG894" s="85">
        <v>44959</v>
      </c>
      <c r="AH894" s="82" t="s">
        <v>3637</v>
      </c>
      <c r="AI894" s="77" t="b">
        <v>0</v>
      </c>
      <c r="AJ894" s="77"/>
      <c r="AK894" s="77"/>
      <c r="AL894" s="77"/>
      <c r="AM894" s="77"/>
      <c r="AN894" s="77"/>
      <c r="AO894" s="77"/>
      <c r="AP894" s="77"/>
      <c r="AQ894" s="77"/>
      <c r="AR894" s="77"/>
      <c r="AS894" s="77"/>
      <c r="AT894" s="77"/>
      <c r="AU894" s="77"/>
      <c r="AV894" s="80" t="str">
        <f>HYPERLINK("https://pbs.twimg.com/profile_images/1504709210180837400/okKkFMhc_normal.jpg")</f>
        <v>https://pbs.twimg.com/profile_images/1504709210180837400/okKkFMhc_normal.jpg</v>
      </c>
      <c r="AW894" s="82" t="s">
        <v>5227</v>
      </c>
      <c r="AX894" s="82" t="s">
        <v>5227</v>
      </c>
      <c r="AY894" s="77"/>
      <c r="AZ894" s="82" t="s">
        <v>5615</v>
      </c>
      <c r="BA894" s="82" t="s">
        <v>5615</v>
      </c>
      <c r="BB894" s="82" t="s">
        <v>5615</v>
      </c>
      <c r="BC894" s="82" t="s">
        <v>5227</v>
      </c>
      <c r="BD894" s="77">
        <v>408509697</v>
      </c>
      <c r="BE894" s="77"/>
      <c r="BF894" s="77"/>
      <c r="BG894" s="77"/>
      <c r="BH894" s="77"/>
      <c r="BI894" s="77"/>
    </row>
    <row r="895" spans="1:61" x14ac:dyDescent="0.25">
      <c r="A895" s="62" t="s">
        <v>527</v>
      </c>
      <c r="B895" s="62" t="s">
        <v>527</v>
      </c>
      <c r="C895" s="63"/>
      <c r="D895" s="64"/>
      <c r="E895" s="65"/>
      <c r="F895" s="66"/>
      <c r="G895" s="63"/>
      <c r="H895" s="67"/>
      <c r="I895" s="68"/>
      <c r="J895" s="68"/>
      <c r="K895" s="32"/>
      <c r="L895" s="75">
        <v>895</v>
      </c>
      <c r="M895" s="75"/>
      <c r="N895" s="70"/>
      <c r="O895" s="77" t="s">
        <v>179</v>
      </c>
      <c r="P895" s="79">
        <v>45120.868854166663</v>
      </c>
      <c r="Q895" s="77" t="s">
        <v>1444</v>
      </c>
      <c r="R895" s="77">
        <v>0</v>
      </c>
      <c r="S895" s="77">
        <v>0</v>
      </c>
      <c r="T895" s="77">
        <v>0</v>
      </c>
      <c r="U895" s="77">
        <v>0</v>
      </c>
      <c r="V895" s="77">
        <v>23</v>
      </c>
      <c r="W895" s="82" t="s">
        <v>1563</v>
      </c>
      <c r="X895" s="77"/>
      <c r="Y895" s="77"/>
      <c r="Z895" s="77"/>
      <c r="AA895" s="77" t="s">
        <v>2651</v>
      </c>
      <c r="AB895" s="77" t="s">
        <v>2714</v>
      </c>
      <c r="AC895" s="82" t="s">
        <v>2720</v>
      </c>
      <c r="AD895" s="77" t="s">
        <v>2752</v>
      </c>
      <c r="AE895" s="80" t="str">
        <f>HYPERLINK("https://twitter.com/seumentor/status/1679594336055377920")</f>
        <v>https://twitter.com/seumentor/status/1679594336055377920</v>
      </c>
      <c r="AF895" s="79">
        <v>45120.868854166663</v>
      </c>
      <c r="AG895" s="85">
        <v>45120</v>
      </c>
      <c r="AH895" s="82" t="s">
        <v>3638</v>
      </c>
      <c r="AI895" s="77" t="b">
        <v>0</v>
      </c>
      <c r="AJ895" s="77"/>
      <c r="AK895" s="77"/>
      <c r="AL895" s="77"/>
      <c r="AM895" s="77"/>
      <c r="AN895" s="77"/>
      <c r="AO895" s="77"/>
      <c r="AP895" s="77"/>
      <c r="AQ895" s="77" t="s">
        <v>4277</v>
      </c>
      <c r="AR895" s="77"/>
      <c r="AS895" s="77"/>
      <c r="AT895" s="77"/>
      <c r="AU895" s="77"/>
      <c r="AV895" s="80" t="str">
        <f>HYPERLINK("https://pbs.twimg.com/media/F08eJV2WwAAJn6-.jpg")</f>
        <v>https://pbs.twimg.com/media/F08eJV2WwAAJn6-.jpg</v>
      </c>
      <c r="AW895" s="82" t="s">
        <v>5228</v>
      </c>
      <c r="AX895" s="82" t="s">
        <v>5228</v>
      </c>
      <c r="AY895" s="77"/>
      <c r="AZ895" s="82" t="s">
        <v>5615</v>
      </c>
      <c r="BA895" s="82" t="s">
        <v>5615</v>
      </c>
      <c r="BB895" s="82" t="s">
        <v>5615</v>
      </c>
      <c r="BC895" s="82" t="s">
        <v>5228</v>
      </c>
      <c r="BD895" s="77">
        <v>27897816</v>
      </c>
      <c r="BE895" s="77"/>
      <c r="BF895" s="77"/>
      <c r="BG895" s="77"/>
      <c r="BH895" s="77"/>
      <c r="BI895" s="77"/>
    </row>
    <row r="896" spans="1:61" x14ac:dyDescent="0.25">
      <c r="A896" s="62" t="s">
        <v>528</v>
      </c>
      <c r="B896" s="62" t="s">
        <v>528</v>
      </c>
      <c r="C896" s="63"/>
      <c r="D896" s="64"/>
      <c r="E896" s="65"/>
      <c r="F896" s="66"/>
      <c r="G896" s="63"/>
      <c r="H896" s="67"/>
      <c r="I896" s="68"/>
      <c r="J896" s="68"/>
      <c r="K896" s="32"/>
      <c r="L896" s="75">
        <v>896</v>
      </c>
      <c r="M896" s="75"/>
      <c r="N896" s="70"/>
      <c r="O896" s="77" t="s">
        <v>179</v>
      </c>
      <c r="P896" s="79">
        <v>45083.592106481483</v>
      </c>
      <c r="Q896" s="77" t="s">
        <v>1445</v>
      </c>
      <c r="R896" s="77">
        <v>0</v>
      </c>
      <c r="S896" s="77">
        <v>0</v>
      </c>
      <c r="T896" s="77">
        <v>0</v>
      </c>
      <c r="U896" s="77">
        <v>0</v>
      </c>
      <c r="V896" s="77">
        <v>11</v>
      </c>
      <c r="W896" s="82" t="s">
        <v>2040</v>
      </c>
      <c r="X896" s="77"/>
      <c r="Y896" s="77"/>
      <c r="Z896" s="77"/>
      <c r="AA896" s="77" t="s">
        <v>2652</v>
      </c>
      <c r="AB896" s="77" t="s">
        <v>2714</v>
      </c>
      <c r="AC896" s="82" t="s">
        <v>2722</v>
      </c>
      <c r="AD896" s="77" t="s">
        <v>2752</v>
      </c>
      <c r="AE896" s="80" t="str">
        <f>HYPERLINK("https://twitter.com/kakoramos/status/1666085692009775104")</f>
        <v>https://twitter.com/kakoramos/status/1666085692009775104</v>
      </c>
      <c r="AF896" s="79">
        <v>45083.592106481483</v>
      </c>
      <c r="AG896" s="85">
        <v>45083</v>
      </c>
      <c r="AH896" s="82" t="s">
        <v>3639</v>
      </c>
      <c r="AI896" s="77" t="b">
        <v>0</v>
      </c>
      <c r="AJ896" s="77"/>
      <c r="AK896" s="77"/>
      <c r="AL896" s="77"/>
      <c r="AM896" s="77"/>
      <c r="AN896" s="77"/>
      <c r="AO896" s="77"/>
      <c r="AP896" s="77"/>
      <c r="AQ896" s="77" t="s">
        <v>4278</v>
      </c>
      <c r="AR896" s="77"/>
      <c r="AS896" s="77"/>
      <c r="AT896" s="77"/>
      <c r="AU896" s="77"/>
      <c r="AV896" s="80" t="str">
        <f>HYPERLINK("https://pbs.twimg.com/media/Fx8gF-3acAQPSCC.jpg")</f>
        <v>https://pbs.twimg.com/media/Fx8gF-3acAQPSCC.jpg</v>
      </c>
      <c r="AW896" s="82" t="s">
        <v>5229</v>
      </c>
      <c r="AX896" s="82" t="s">
        <v>5229</v>
      </c>
      <c r="AY896" s="77"/>
      <c r="AZ896" s="82" t="s">
        <v>5615</v>
      </c>
      <c r="BA896" s="82" t="s">
        <v>5615</v>
      </c>
      <c r="BB896" s="82" t="s">
        <v>5615</v>
      </c>
      <c r="BC896" s="82" t="s">
        <v>5229</v>
      </c>
      <c r="BD896" s="77">
        <v>69634735</v>
      </c>
      <c r="BE896" s="77"/>
      <c r="BF896" s="77"/>
      <c r="BG896" s="77"/>
      <c r="BH896" s="77"/>
      <c r="BI896" s="77"/>
    </row>
    <row r="897" spans="1:61" x14ac:dyDescent="0.25">
      <c r="A897" s="62" t="s">
        <v>529</v>
      </c>
      <c r="B897" s="62" t="s">
        <v>529</v>
      </c>
      <c r="C897" s="63"/>
      <c r="D897" s="64"/>
      <c r="E897" s="65"/>
      <c r="F897" s="66"/>
      <c r="G897" s="63"/>
      <c r="H897" s="67"/>
      <c r="I897" s="68"/>
      <c r="J897" s="68"/>
      <c r="K897" s="32"/>
      <c r="L897" s="75">
        <v>897</v>
      </c>
      <c r="M897" s="75"/>
      <c r="N897" s="70"/>
      <c r="O897" s="77" t="s">
        <v>179</v>
      </c>
      <c r="P897" s="79">
        <v>45152.044212962966</v>
      </c>
      <c r="Q897" s="77" t="s">
        <v>1446</v>
      </c>
      <c r="R897" s="77">
        <v>0</v>
      </c>
      <c r="S897" s="77">
        <v>0</v>
      </c>
      <c r="T897" s="77">
        <v>1</v>
      </c>
      <c r="U897" s="77">
        <v>0</v>
      </c>
      <c r="V897" s="77">
        <v>26</v>
      </c>
      <c r="W897" s="82" t="s">
        <v>1563</v>
      </c>
      <c r="X897" s="77"/>
      <c r="Y897" s="77"/>
      <c r="Z897" s="77"/>
      <c r="AA897" s="77" t="s">
        <v>2653</v>
      </c>
      <c r="AB897" s="77" t="s">
        <v>2713</v>
      </c>
      <c r="AC897" s="82" t="s">
        <v>2719</v>
      </c>
      <c r="AD897" s="77" t="s">
        <v>2752</v>
      </c>
      <c r="AE897" s="80" t="str">
        <f>HYPERLINK("https://twitter.com/umlokd/status/1690891905834287104")</f>
        <v>https://twitter.com/umlokd/status/1690891905834287104</v>
      </c>
      <c r="AF897" s="79">
        <v>45152.044212962966</v>
      </c>
      <c r="AG897" s="85">
        <v>45152</v>
      </c>
      <c r="AH897" s="82" t="s">
        <v>3640</v>
      </c>
      <c r="AI897" s="77" t="b">
        <v>0</v>
      </c>
      <c r="AJ897" s="77"/>
      <c r="AK897" s="77"/>
      <c r="AL897" s="77"/>
      <c r="AM897" s="77"/>
      <c r="AN897" s="77"/>
      <c r="AO897" s="77"/>
      <c r="AP897" s="77"/>
      <c r="AQ897" s="77" t="s">
        <v>4279</v>
      </c>
      <c r="AR897" s="77">
        <v>9134</v>
      </c>
      <c r="AS897" s="77"/>
      <c r="AT897" s="77"/>
      <c r="AU897" s="77"/>
      <c r="AV897" s="80" t="str">
        <f>HYPERLINK("https://pbs.twimg.com/ext_tw_video_thumb/1690891525784272896/pu/img/X3st52eM_Sr299_q.jpg")</f>
        <v>https://pbs.twimg.com/ext_tw_video_thumb/1690891525784272896/pu/img/X3st52eM_Sr299_q.jpg</v>
      </c>
      <c r="AW897" s="82" t="s">
        <v>5230</v>
      </c>
      <c r="AX897" s="82" t="s">
        <v>5230</v>
      </c>
      <c r="AY897" s="77"/>
      <c r="AZ897" s="82" t="s">
        <v>5615</v>
      </c>
      <c r="BA897" s="82" t="s">
        <v>5615</v>
      </c>
      <c r="BB897" s="82" t="s">
        <v>5615</v>
      </c>
      <c r="BC897" s="82" t="s">
        <v>5230</v>
      </c>
      <c r="BD897" s="82" t="s">
        <v>6072</v>
      </c>
      <c r="BE897" s="77"/>
      <c r="BF897" s="77"/>
      <c r="BG897" s="77"/>
      <c r="BH897" s="77"/>
      <c r="BI897" s="77"/>
    </row>
    <row r="898" spans="1:61" x14ac:dyDescent="0.25">
      <c r="A898" s="62" t="s">
        <v>530</v>
      </c>
      <c r="B898" s="62" t="s">
        <v>530</v>
      </c>
      <c r="C898" s="63"/>
      <c r="D898" s="64"/>
      <c r="E898" s="65"/>
      <c r="F898" s="66"/>
      <c r="G898" s="63"/>
      <c r="H898" s="67"/>
      <c r="I898" s="68"/>
      <c r="J898" s="68"/>
      <c r="K898" s="32"/>
      <c r="L898" s="75">
        <v>898</v>
      </c>
      <c r="M898" s="75"/>
      <c r="N898" s="70"/>
      <c r="O898" s="77" t="s">
        <v>179</v>
      </c>
      <c r="P898" s="79">
        <v>45058.532164351855</v>
      </c>
      <c r="Q898" s="77" t="s">
        <v>1447</v>
      </c>
      <c r="R898" s="77">
        <v>0</v>
      </c>
      <c r="S898" s="77">
        <v>0</v>
      </c>
      <c r="T898" s="77">
        <v>1</v>
      </c>
      <c r="U898" s="77">
        <v>0</v>
      </c>
      <c r="V898" s="77">
        <v>32</v>
      </c>
      <c r="W898" s="82" t="s">
        <v>2041</v>
      </c>
      <c r="X898" s="77"/>
      <c r="Y898" s="77"/>
      <c r="Z898" s="77"/>
      <c r="AA898" s="77" t="s">
        <v>2654</v>
      </c>
      <c r="AB898" s="77" t="s">
        <v>2713</v>
      </c>
      <c r="AC898" s="82" t="s">
        <v>2719</v>
      </c>
      <c r="AD898" s="77" t="s">
        <v>2752</v>
      </c>
      <c r="AE898" s="80" t="str">
        <f>HYPERLINK("https://twitter.com/jovememprendedo/status/1657004274239381504")</f>
        <v>https://twitter.com/jovememprendedo/status/1657004274239381504</v>
      </c>
      <c r="AF898" s="79">
        <v>45058.532164351855</v>
      </c>
      <c r="AG898" s="85">
        <v>45058</v>
      </c>
      <c r="AH898" s="82" t="s">
        <v>3641</v>
      </c>
      <c r="AI898" s="77" t="b">
        <v>0</v>
      </c>
      <c r="AJ898" s="77"/>
      <c r="AK898" s="77"/>
      <c r="AL898" s="77"/>
      <c r="AM898" s="77"/>
      <c r="AN898" s="77"/>
      <c r="AO898" s="77"/>
      <c r="AP898" s="77"/>
      <c r="AQ898" s="77" t="s">
        <v>4280</v>
      </c>
      <c r="AR898" s="77">
        <v>9699</v>
      </c>
      <c r="AS898" s="77"/>
      <c r="AT898" s="77"/>
      <c r="AU898" s="77"/>
      <c r="AV898" s="80" t="str">
        <f>HYPERLINK("https://pbs.twimg.com/ext_tw_video_thumb/1657004234540236800/pu/img/r0GGej9pgLIFjOiU.jpg")</f>
        <v>https://pbs.twimg.com/ext_tw_video_thumb/1657004234540236800/pu/img/r0GGej9pgLIFjOiU.jpg</v>
      </c>
      <c r="AW898" s="82" t="s">
        <v>5231</v>
      </c>
      <c r="AX898" s="82" t="s">
        <v>5231</v>
      </c>
      <c r="AY898" s="77"/>
      <c r="AZ898" s="82" t="s">
        <v>5615</v>
      </c>
      <c r="BA898" s="82" t="s">
        <v>5615</v>
      </c>
      <c r="BB898" s="82" t="s">
        <v>5615</v>
      </c>
      <c r="BC898" s="82" t="s">
        <v>5231</v>
      </c>
      <c r="BD898" s="82" t="s">
        <v>6073</v>
      </c>
      <c r="BE898" s="77"/>
      <c r="BF898" s="77"/>
      <c r="BG898" s="77"/>
      <c r="BH898" s="77"/>
      <c r="BI898" s="77"/>
    </row>
    <row r="899" spans="1:61" x14ac:dyDescent="0.25">
      <c r="A899" s="62" t="s">
        <v>531</v>
      </c>
      <c r="B899" s="62" t="s">
        <v>531</v>
      </c>
      <c r="C899" s="63"/>
      <c r="D899" s="64"/>
      <c r="E899" s="65"/>
      <c r="F899" s="66"/>
      <c r="G899" s="63"/>
      <c r="H899" s="67"/>
      <c r="I899" s="68"/>
      <c r="J899" s="68"/>
      <c r="K899" s="32"/>
      <c r="L899" s="75">
        <v>899</v>
      </c>
      <c r="M899" s="75"/>
      <c r="N899" s="70"/>
      <c r="O899" s="77" t="s">
        <v>179</v>
      </c>
      <c r="P899" s="79">
        <v>45151.815324074072</v>
      </c>
      <c r="Q899" s="77" t="s">
        <v>1448</v>
      </c>
      <c r="R899" s="77">
        <v>0</v>
      </c>
      <c r="S899" s="77">
        <v>0</v>
      </c>
      <c r="T899" s="77">
        <v>0</v>
      </c>
      <c r="U899" s="77">
        <v>0</v>
      </c>
      <c r="V899" s="77">
        <v>37</v>
      </c>
      <c r="W899" s="82" t="s">
        <v>2042</v>
      </c>
      <c r="X899" s="77" t="s">
        <v>2124</v>
      </c>
      <c r="Y899" s="77" t="s">
        <v>2172</v>
      </c>
      <c r="Z899" s="77"/>
      <c r="AA899" s="77" t="s">
        <v>2655</v>
      </c>
      <c r="AB899" s="77" t="s">
        <v>2713</v>
      </c>
      <c r="AC899" s="82" t="s">
        <v>2729</v>
      </c>
      <c r="AD899" s="77" t="s">
        <v>2753</v>
      </c>
      <c r="AE899" s="80" t="str">
        <f>HYPERLINK("https://twitter.com/caioneto2/status/1690808958292774912")</f>
        <v>https://twitter.com/caioneto2/status/1690808958292774912</v>
      </c>
      <c r="AF899" s="79">
        <v>45151.815324074072</v>
      </c>
      <c r="AG899" s="85">
        <v>45151</v>
      </c>
      <c r="AH899" s="82" t="s">
        <v>3642</v>
      </c>
      <c r="AI899" s="77" t="b">
        <v>0</v>
      </c>
      <c r="AJ899" s="77"/>
      <c r="AK899" s="77"/>
      <c r="AL899" s="77"/>
      <c r="AM899" s="77"/>
      <c r="AN899" s="77"/>
      <c r="AO899" s="77"/>
      <c r="AP899" s="77"/>
      <c r="AQ899" s="77" t="s">
        <v>4281</v>
      </c>
      <c r="AR899" s="77">
        <v>5000</v>
      </c>
      <c r="AS899" s="77"/>
      <c r="AT899" s="77"/>
      <c r="AU899" s="77"/>
      <c r="AV899" s="80" t="str">
        <f>HYPERLINK("https://pbs.twimg.com/ext_tw_video_thumb/1690808938432790528/pu/img/9cgrZfqygJRlDbJ9.jpg")</f>
        <v>https://pbs.twimg.com/ext_tw_video_thumb/1690808938432790528/pu/img/9cgrZfqygJRlDbJ9.jpg</v>
      </c>
      <c r="AW899" s="82" t="s">
        <v>5232</v>
      </c>
      <c r="AX899" s="82" t="s">
        <v>5232</v>
      </c>
      <c r="AY899" s="77"/>
      <c r="AZ899" s="82" t="s">
        <v>5615</v>
      </c>
      <c r="BA899" s="82" t="s">
        <v>5615</v>
      </c>
      <c r="BB899" s="82" t="s">
        <v>5615</v>
      </c>
      <c r="BC899" s="82" t="s">
        <v>5232</v>
      </c>
      <c r="BD899" s="77">
        <v>351247493</v>
      </c>
      <c r="BE899" s="77"/>
      <c r="BF899" s="77"/>
      <c r="BG899" s="77"/>
      <c r="BH899" s="77"/>
      <c r="BI899" s="77"/>
    </row>
    <row r="900" spans="1:61" x14ac:dyDescent="0.25">
      <c r="A900" s="62" t="s">
        <v>531</v>
      </c>
      <c r="B900" s="62" t="s">
        <v>531</v>
      </c>
      <c r="C900" s="63"/>
      <c r="D900" s="64"/>
      <c r="E900" s="65"/>
      <c r="F900" s="66"/>
      <c r="G900" s="63"/>
      <c r="H900" s="67"/>
      <c r="I900" s="68"/>
      <c r="J900" s="68"/>
      <c r="K900" s="32"/>
      <c r="L900" s="75">
        <v>900</v>
      </c>
      <c r="M900" s="75"/>
      <c r="N900" s="70"/>
      <c r="O900" s="77" t="s">
        <v>179</v>
      </c>
      <c r="P900" s="79">
        <v>45165.751458333332</v>
      </c>
      <c r="Q900" s="77" t="s">
        <v>1449</v>
      </c>
      <c r="R900" s="77">
        <v>0</v>
      </c>
      <c r="S900" s="77">
        <v>0</v>
      </c>
      <c r="T900" s="77">
        <v>0</v>
      </c>
      <c r="U900" s="77">
        <v>0</v>
      </c>
      <c r="V900" s="77">
        <v>47</v>
      </c>
      <c r="W900" s="82" t="s">
        <v>2043</v>
      </c>
      <c r="X900" s="77" t="s">
        <v>2124</v>
      </c>
      <c r="Y900" s="77" t="s">
        <v>2172</v>
      </c>
      <c r="Z900" s="77"/>
      <c r="AA900" s="77" t="s">
        <v>2656</v>
      </c>
      <c r="AB900" s="77" t="s">
        <v>2713</v>
      </c>
      <c r="AC900" s="82" t="s">
        <v>2729</v>
      </c>
      <c r="AD900" s="77" t="s">
        <v>2753</v>
      </c>
      <c r="AE900" s="80" t="str">
        <f>HYPERLINK("https://twitter.com/caioneto2/status/1695859244447269374")</f>
        <v>https://twitter.com/caioneto2/status/1695859244447269374</v>
      </c>
      <c r="AF900" s="79">
        <v>45165.751458333332</v>
      </c>
      <c r="AG900" s="85">
        <v>45165</v>
      </c>
      <c r="AH900" s="82" t="s">
        <v>3643</v>
      </c>
      <c r="AI900" s="77" t="b">
        <v>0</v>
      </c>
      <c r="AJ900" s="77"/>
      <c r="AK900" s="77"/>
      <c r="AL900" s="77"/>
      <c r="AM900" s="77"/>
      <c r="AN900" s="77"/>
      <c r="AO900" s="77"/>
      <c r="AP900" s="77"/>
      <c r="AQ900" s="77" t="s">
        <v>4282</v>
      </c>
      <c r="AR900" s="77">
        <v>5000</v>
      </c>
      <c r="AS900" s="77"/>
      <c r="AT900" s="77"/>
      <c r="AU900" s="77"/>
      <c r="AV900" s="80" t="str">
        <f>HYPERLINK("https://pbs.twimg.com/ext_tw_video_thumb/1695859220103483392/pu/img/d-02hNa3GpzgWwDn.jpg")</f>
        <v>https://pbs.twimg.com/ext_tw_video_thumb/1695859220103483392/pu/img/d-02hNa3GpzgWwDn.jpg</v>
      </c>
      <c r="AW900" s="82" t="s">
        <v>5233</v>
      </c>
      <c r="AX900" s="82" t="s">
        <v>5233</v>
      </c>
      <c r="AY900" s="77"/>
      <c r="AZ900" s="82" t="s">
        <v>5615</v>
      </c>
      <c r="BA900" s="82" t="s">
        <v>5615</v>
      </c>
      <c r="BB900" s="82" t="s">
        <v>5615</v>
      </c>
      <c r="BC900" s="82" t="s">
        <v>5233</v>
      </c>
      <c r="BD900" s="77">
        <v>351247493</v>
      </c>
      <c r="BE900" s="77"/>
      <c r="BF900" s="77"/>
      <c r="BG900" s="77"/>
      <c r="BH900" s="77"/>
      <c r="BI900" s="77"/>
    </row>
    <row r="901" spans="1:61" x14ac:dyDescent="0.25">
      <c r="A901" s="62" t="s">
        <v>531</v>
      </c>
      <c r="B901" s="62" t="s">
        <v>531</v>
      </c>
      <c r="C901" s="63"/>
      <c r="D901" s="64"/>
      <c r="E901" s="65"/>
      <c r="F901" s="66"/>
      <c r="G901" s="63"/>
      <c r="H901" s="67"/>
      <c r="I901" s="68"/>
      <c r="J901" s="68"/>
      <c r="K901" s="32"/>
      <c r="L901" s="75">
        <v>901</v>
      </c>
      <c r="M901" s="75"/>
      <c r="N901" s="70"/>
      <c r="O901" s="77" t="s">
        <v>179</v>
      </c>
      <c r="P901" s="79">
        <v>45163.706990740742</v>
      </c>
      <c r="Q901" s="77" t="s">
        <v>1450</v>
      </c>
      <c r="R901" s="77">
        <v>0</v>
      </c>
      <c r="S901" s="77">
        <v>0</v>
      </c>
      <c r="T901" s="77">
        <v>0</v>
      </c>
      <c r="U901" s="77">
        <v>0</v>
      </c>
      <c r="V901" s="77">
        <v>64</v>
      </c>
      <c r="W901" s="82" t="s">
        <v>2042</v>
      </c>
      <c r="X901" s="77" t="s">
        <v>2125</v>
      </c>
      <c r="Y901" s="77" t="s">
        <v>2173</v>
      </c>
      <c r="Z901" s="77"/>
      <c r="AA901" s="77" t="s">
        <v>2657</v>
      </c>
      <c r="AB901" s="77" t="s">
        <v>2713</v>
      </c>
      <c r="AC901" s="82" t="s">
        <v>2729</v>
      </c>
      <c r="AD901" s="77" t="s">
        <v>2753</v>
      </c>
      <c r="AE901" s="80" t="str">
        <f>HYPERLINK("https://twitter.com/caioneto2/status/1695118355332583481")</f>
        <v>https://twitter.com/caioneto2/status/1695118355332583481</v>
      </c>
      <c r="AF901" s="79">
        <v>45163.706990740742</v>
      </c>
      <c r="AG901" s="85">
        <v>45163</v>
      </c>
      <c r="AH901" s="82" t="s">
        <v>3644</v>
      </c>
      <c r="AI901" s="77" t="b">
        <v>0</v>
      </c>
      <c r="AJ901" s="77"/>
      <c r="AK901" s="77"/>
      <c r="AL901" s="77"/>
      <c r="AM901" s="77"/>
      <c r="AN901" s="77"/>
      <c r="AO901" s="77"/>
      <c r="AP901" s="77"/>
      <c r="AQ901" s="77" t="s">
        <v>4283</v>
      </c>
      <c r="AR901" s="77">
        <v>5000</v>
      </c>
      <c r="AS901" s="77"/>
      <c r="AT901" s="77"/>
      <c r="AU901" s="77"/>
      <c r="AV901" s="80" t="str">
        <f>HYPERLINK("https://pbs.twimg.com/ext_tw_video_thumb/1695118338328838144/pu/img/g1YsWgsmGtf2vagJ.jpg")</f>
        <v>https://pbs.twimg.com/ext_tw_video_thumb/1695118338328838144/pu/img/g1YsWgsmGtf2vagJ.jpg</v>
      </c>
      <c r="AW901" s="82" t="s">
        <v>5234</v>
      </c>
      <c r="AX901" s="82" t="s">
        <v>5234</v>
      </c>
      <c r="AY901" s="77"/>
      <c r="AZ901" s="82" t="s">
        <v>5615</v>
      </c>
      <c r="BA901" s="82" t="s">
        <v>5615</v>
      </c>
      <c r="BB901" s="82" t="s">
        <v>5615</v>
      </c>
      <c r="BC901" s="82" t="s">
        <v>5234</v>
      </c>
      <c r="BD901" s="77">
        <v>351247493</v>
      </c>
      <c r="BE901" s="77"/>
      <c r="BF901" s="77"/>
      <c r="BG901" s="77"/>
      <c r="BH901" s="77"/>
      <c r="BI901" s="77"/>
    </row>
    <row r="902" spans="1:61" x14ac:dyDescent="0.25">
      <c r="A902" s="62" t="s">
        <v>532</v>
      </c>
      <c r="B902" s="62" t="s">
        <v>579</v>
      </c>
      <c r="C902" s="63"/>
      <c r="D902" s="64"/>
      <c r="E902" s="65"/>
      <c r="F902" s="66"/>
      <c r="G902" s="63"/>
      <c r="H902" s="67"/>
      <c r="I902" s="68"/>
      <c r="J902" s="68"/>
      <c r="K902" s="32"/>
      <c r="L902" s="75">
        <v>902</v>
      </c>
      <c r="M902" s="75"/>
      <c r="N902" s="70"/>
      <c r="O902" s="77" t="s">
        <v>586</v>
      </c>
      <c r="P902" s="79">
        <v>45189.496388888889</v>
      </c>
      <c r="Q902" s="77" t="s">
        <v>1451</v>
      </c>
      <c r="R902" s="77">
        <v>0</v>
      </c>
      <c r="S902" s="77">
        <v>0</v>
      </c>
      <c r="T902" s="77">
        <v>0</v>
      </c>
      <c r="U902" s="77">
        <v>0</v>
      </c>
      <c r="V902" s="77">
        <v>26</v>
      </c>
      <c r="W902" s="82" t="s">
        <v>2044</v>
      </c>
      <c r="X902" s="77"/>
      <c r="Y902" s="77"/>
      <c r="Z902" s="77" t="s">
        <v>2182</v>
      </c>
      <c r="AA902" s="77" t="s">
        <v>2658</v>
      </c>
      <c r="AB902" s="77" t="s">
        <v>2714</v>
      </c>
      <c r="AC902" s="82" t="s">
        <v>2719</v>
      </c>
      <c r="AD902" s="77" t="s">
        <v>2752</v>
      </c>
      <c r="AE902" s="80" t="str">
        <f>HYPERLINK("https://twitter.com/andyz_2023/status/1704464119598809228")</f>
        <v>https://twitter.com/andyz_2023/status/1704464119598809228</v>
      </c>
      <c r="AF902" s="79">
        <v>45189.496388888889</v>
      </c>
      <c r="AG902" s="85">
        <v>45189</v>
      </c>
      <c r="AH902" s="82" t="s">
        <v>3645</v>
      </c>
      <c r="AI902" s="77" t="b">
        <v>0</v>
      </c>
      <c r="AJ902" s="77" t="s">
        <v>3751</v>
      </c>
      <c r="AK902" s="77" t="s">
        <v>3752</v>
      </c>
      <c r="AL902" s="77" t="s">
        <v>3755</v>
      </c>
      <c r="AM902" s="77" t="s">
        <v>3773</v>
      </c>
      <c r="AN902" s="77" t="s">
        <v>3791</v>
      </c>
      <c r="AO902" s="77" t="s">
        <v>3807</v>
      </c>
      <c r="AP902" s="77" t="s">
        <v>3808</v>
      </c>
      <c r="AQ902" s="77" t="s">
        <v>4284</v>
      </c>
      <c r="AR902" s="77"/>
      <c r="AS902" s="77"/>
      <c r="AT902" s="77"/>
      <c r="AU902" s="77"/>
      <c r="AV902" s="80" t="str">
        <f>HYPERLINK("https://pbs.twimg.com/media/F6d5FN9XoAAGUYU.png")</f>
        <v>https://pbs.twimg.com/media/F6d5FN9XoAAGUYU.png</v>
      </c>
      <c r="AW902" s="82" t="s">
        <v>5235</v>
      </c>
      <c r="AX902" s="82" t="s">
        <v>5235</v>
      </c>
      <c r="AY902" s="77"/>
      <c r="AZ902" s="82" t="s">
        <v>5615</v>
      </c>
      <c r="BA902" s="82" t="s">
        <v>5615</v>
      </c>
      <c r="BB902" s="82" t="s">
        <v>5615</v>
      </c>
      <c r="BC902" s="82" t="s">
        <v>5235</v>
      </c>
      <c r="BD902" s="82" t="s">
        <v>6074</v>
      </c>
      <c r="BE902" s="77"/>
      <c r="BF902" s="77"/>
      <c r="BG902" s="77"/>
      <c r="BH902" s="77"/>
      <c r="BI902" s="77"/>
    </row>
    <row r="903" spans="1:61" x14ac:dyDescent="0.25">
      <c r="A903" s="62" t="s">
        <v>532</v>
      </c>
      <c r="B903" s="62" t="s">
        <v>571</v>
      </c>
      <c r="C903" s="63"/>
      <c r="D903" s="64"/>
      <c r="E903" s="65"/>
      <c r="F903" s="66"/>
      <c r="G903" s="63"/>
      <c r="H903" s="67"/>
      <c r="I903" s="68"/>
      <c r="J903" s="68"/>
      <c r="K903" s="32"/>
      <c r="L903" s="75">
        <v>903</v>
      </c>
      <c r="M903" s="75"/>
      <c r="N903" s="70"/>
      <c r="O903" s="77" t="s">
        <v>586</v>
      </c>
      <c r="P903" s="79">
        <v>45041.386979166666</v>
      </c>
      <c r="Q903" s="77" t="s">
        <v>1452</v>
      </c>
      <c r="R903" s="77">
        <v>0</v>
      </c>
      <c r="S903" s="77">
        <v>2</v>
      </c>
      <c r="T903" s="77">
        <v>0</v>
      </c>
      <c r="U903" s="77">
        <v>0</v>
      </c>
      <c r="V903" s="77">
        <v>132</v>
      </c>
      <c r="W903" s="82" t="s">
        <v>2045</v>
      </c>
      <c r="X903" s="77"/>
      <c r="Y903" s="77"/>
      <c r="Z903" s="77" t="s">
        <v>2183</v>
      </c>
      <c r="AA903" s="77" t="s">
        <v>2659</v>
      </c>
      <c r="AB903" s="77" t="s">
        <v>2714</v>
      </c>
      <c r="AC903" s="82" t="s">
        <v>2719</v>
      </c>
      <c r="AD903" s="77" t="s">
        <v>2752</v>
      </c>
      <c r="AE903" s="80" t="str">
        <f>HYPERLINK("https://twitter.com/andyz_2023/status/1650791069594836992")</f>
        <v>https://twitter.com/andyz_2023/status/1650791069594836992</v>
      </c>
      <c r="AF903" s="79">
        <v>45041.386979166666</v>
      </c>
      <c r="AG903" s="85">
        <v>45041</v>
      </c>
      <c r="AH903" s="82" t="s">
        <v>3646</v>
      </c>
      <c r="AI903" s="77" t="b">
        <v>0</v>
      </c>
      <c r="AJ903" s="77" t="s">
        <v>3751</v>
      </c>
      <c r="AK903" s="77" t="s">
        <v>3752</v>
      </c>
      <c r="AL903" s="77" t="s">
        <v>3755</v>
      </c>
      <c r="AM903" s="77" t="s">
        <v>3773</v>
      </c>
      <c r="AN903" s="77" t="s">
        <v>3791</v>
      </c>
      <c r="AO903" s="77" t="s">
        <v>3807</v>
      </c>
      <c r="AP903" s="77" t="s">
        <v>3808</v>
      </c>
      <c r="AQ903" s="77" t="s">
        <v>4285</v>
      </c>
      <c r="AR903" s="77"/>
      <c r="AS903" s="77"/>
      <c r="AT903" s="77"/>
      <c r="AU903" s="77"/>
      <c r="AV903" s="80" t="str">
        <f>HYPERLINK("https://pbs.twimg.com/media/FujJuppXgAArkY-.jpg")</f>
        <v>https://pbs.twimg.com/media/FujJuppXgAArkY-.jpg</v>
      </c>
      <c r="AW903" s="82" t="s">
        <v>5236</v>
      </c>
      <c r="AX903" s="82" t="s">
        <v>5236</v>
      </c>
      <c r="AY903" s="77"/>
      <c r="AZ903" s="82" t="s">
        <v>5615</v>
      </c>
      <c r="BA903" s="82" t="s">
        <v>5615</v>
      </c>
      <c r="BB903" s="82" t="s">
        <v>5615</v>
      </c>
      <c r="BC903" s="82" t="s">
        <v>5236</v>
      </c>
      <c r="BD903" s="82" t="s">
        <v>6074</v>
      </c>
      <c r="BE903" s="77"/>
      <c r="BF903" s="77"/>
      <c r="BG903" s="77"/>
      <c r="BH903" s="77"/>
      <c r="BI903" s="77"/>
    </row>
    <row r="904" spans="1:61" x14ac:dyDescent="0.25">
      <c r="A904" s="62" t="s">
        <v>532</v>
      </c>
      <c r="B904" s="62" t="s">
        <v>580</v>
      </c>
      <c r="C904" s="63"/>
      <c r="D904" s="64"/>
      <c r="E904" s="65"/>
      <c r="F904" s="66"/>
      <c r="G904" s="63"/>
      <c r="H904" s="67"/>
      <c r="I904" s="68"/>
      <c r="J904" s="68"/>
      <c r="K904" s="32"/>
      <c r="L904" s="75">
        <v>904</v>
      </c>
      <c r="M904" s="75"/>
      <c r="N904" s="70"/>
      <c r="O904" s="77" t="s">
        <v>586</v>
      </c>
      <c r="P904" s="79">
        <v>45189.496388888889</v>
      </c>
      <c r="Q904" s="77" t="s">
        <v>1451</v>
      </c>
      <c r="R904" s="77">
        <v>0</v>
      </c>
      <c r="S904" s="77">
        <v>0</v>
      </c>
      <c r="T904" s="77">
        <v>0</v>
      </c>
      <c r="U904" s="77">
        <v>0</v>
      </c>
      <c r="V904" s="77">
        <v>26</v>
      </c>
      <c r="W904" s="82" t="s">
        <v>2044</v>
      </c>
      <c r="X904" s="77"/>
      <c r="Y904" s="77"/>
      <c r="Z904" s="77" t="s">
        <v>2182</v>
      </c>
      <c r="AA904" s="77" t="s">
        <v>2658</v>
      </c>
      <c r="AB904" s="77" t="s">
        <v>2714</v>
      </c>
      <c r="AC904" s="82" t="s">
        <v>2719</v>
      </c>
      <c r="AD904" s="77" t="s">
        <v>2752</v>
      </c>
      <c r="AE904" s="80" t="str">
        <f>HYPERLINK("https://twitter.com/andyz_2023/status/1704464119598809228")</f>
        <v>https://twitter.com/andyz_2023/status/1704464119598809228</v>
      </c>
      <c r="AF904" s="79">
        <v>45189.496388888889</v>
      </c>
      <c r="AG904" s="85">
        <v>45189</v>
      </c>
      <c r="AH904" s="82" t="s">
        <v>3645</v>
      </c>
      <c r="AI904" s="77" t="b">
        <v>0</v>
      </c>
      <c r="AJ904" s="77" t="s">
        <v>3751</v>
      </c>
      <c r="AK904" s="77" t="s">
        <v>3752</v>
      </c>
      <c r="AL904" s="77" t="s">
        <v>3755</v>
      </c>
      <c r="AM904" s="77" t="s">
        <v>3773</v>
      </c>
      <c r="AN904" s="77" t="s">
        <v>3791</v>
      </c>
      <c r="AO904" s="77" t="s">
        <v>3807</v>
      </c>
      <c r="AP904" s="77" t="s">
        <v>3808</v>
      </c>
      <c r="AQ904" s="77" t="s">
        <v>4284</v>
      </c>
      <c r="AR904" s="77"/>
      <c r="AS904" s="77"/>
      <c r="AT904" s="77"/>
      <c r="AU904" s="77"/>
      <c r="AV904" s="80" t="str">
        <f>HYPERLINK("https://pbs.twimg.com/media/F6d5FN9XoAAGUYU.png")</f>
        <v>https://pbs.twimg.com/media/F6d5FN9XoAAGUYU.png</v>
      </c>
      <c r="AW904" s="82" t="s">
        <v>5235</v>
      </c>
      <c r="AX904" s="82" t="s">
        <v>5235</v>
      </c>
      <c r="AY904" s="77"/>
      <c r="AZ904" s="82" t="s">
        <v>5615</v>
      </c>
      <c r="BA904" s="82" t="s">
        <v>5615</v>
      </c>
      <c r="BB904" s="82" t="s">
        <v>5615</v>
      </c>
      <c r="BC904" s="82" t="s">
        <v>5235</v>
      </c>
      <c r="BD904" s="82" t="s">
        <v>6074</v>
      </c>
      <c r="BE904" s="77"/>
      <c r="BF904" s="77"/>
      <c r="BG904" s="77"/>
      <c r="BH904" s="77"/>
      <c r="BI904" s="77"/>
    </row>
    <row r="905" spans="1:61" x14ac:dyDescent="0.25">
      <c r="A905" s="62" t="s">
        <v>532</v>
      </c>
      <c r="B905" s="62" t="s">
        <v>580</v>
      </c>
      <c r="C905" s="63"/>
      <c r="D905" s="64"/>
      <c r="E905" s="65"/>
      <c r="F905" s="66"/>
      <c r="G905" s="63"/>
      <c r="H905" s="67"/>
      <c r="I905" s="68"/>
      <c r="J905" s="68"/>
      <c r="K905" s="32"/>
      <c r="L905" s="75">
        <v>905</v>
      </c>
      <c r="M905" s="75"/>
      <c r="N905" s="70"/>
      <c r="O905" s="77" t="s">
        <v>586</v>
      </c>
      <c r="P905" s="79">
        <v>45041.386979166666</v>
      </c>
      <c r="Q905" s="77" t="s">
        <v>1452</v>
      </c>
      <c r="R905" s="77">
        <v>0</v>
      </c>
      <c r="S905" s="77">
        <v>2</v>
      </c>
      <c r="T905" s="77">
        <v>0</v>
      </c>
      <c r="U905" s="77">
        <v>0</v>
      </c>
      <c r="V905" s="77">
        <v>132</v>
      </c>
      <c r="W905" s="82" t="s">
        <v>2045</v>
      </c>
      <c r="X905" s="77"/>
      <c r="Y905" s="77"/>
      <c r="Z905" s="77" t="s">
        <v>2183</v>
      </c>
      <c r="AA905" s="77" t="s">
        <v>2659</v>
      </c>
      <c r="AB905" s="77" t="s">
        <v>2714</v>
      </c>
      <c r="AC905" s="82" t="s">
        <v>2719</v>
      </c>
      <c r="AD905" s="77" t="s">
        <v>2752</v>
      </c>
      <c r="AE905" s="80" t="str">
        <f>HYPERLINK("https://twitter.com/andyz_2023/status/1650791069594836992")</f>
        <v>https://twitter.com/andyz_2023/status/1650791069594836992</v>
      </c>
      <c r="AF905" s="79">
        <v>45041.386979166666</v>
      </c>
      <c r="AG905" s="85">
        <v>45041</v>
      </c>
      <c r="AH905" s="82" t="s">
        <v>3646</v>
      </c>
      <c r="AI905" s="77" t="b">
        <v>0</v>
      </c>
      <c r="AJ905" s="77" t="s">
        <v>3751</v>
      </c>
      <c r="AK905" s="77" t="s">
        <v>3752</v>
      </c>
      <c r="AL905" s="77" t="s">
        <v>3755</v>
      </c>
      <c r="AM905" s="77" t="s">
        <v>3773</v>
      </c>
      <c r="AN905" s="77" t="s">
        <v>3791</v>
      </c>
      <c r="AO905" s="77" t="s">
        <v>3807</v>
      </c>
      <c r="AP905" s="77" t="s">
        <v>3808</v>
      </c>
      <c r="AQ905" s="77" t="s">
        <v>4285</v>
      </c>
      <c r="AR905" s="77"/>
      <c r="AS905" s="77"/>
      <c r="AT905" s="77"/>
      <c r="AU905" s="77"/>
      <c r="AV905" s="80" t="str">
        <f>HYPERLINK("https://pbs.twimg.com/media/FujJuppXgAArkY-.jpg")</f>
        <v>https://pbs.twimg.com/media/FujJuppXgAArkY-.jpg</v>
      </c>
      <c r="AW905" s="82" t="s">
        <v>5236</v>
      </c>
      <c r="AX905" s="82" t="s">
        <v>5236</v>
      </c>
      <c r="AY905" s="77"/>
      <c r="AZ905" s="82" t="s">
        <v>5615</v>
      </c>
      <c r="BA905" s="82" t="s">
        <v>5615</v>
      </c>
      <c r="BB905" s="82" t="s">
        <v>5615</v>
      </c>
      <c r="BC905" s="82" t="s">
        <v>5236</v>
      </c>
      <c r="BD905" s="82" t="s">
        <v>6074</v>
      </c>
      <c r="BE905" s="77"/>
      <c r="BF905" s="77"/>
      <c r="BG905" s="77"/>
      <c r="BH905" s="77"/>
      <c r="BI905" s="77"/>
    </row>
    <row r="906" spans="1:61" x14ac:dyDescent="0.25">
      <c r="A906" s="62" t="s">
        <v>532</v>
      </c>
      <c r="B906" s="62" t="s">
        <v>532</v>
      </c>
      <c r="C906" s="63"/>
      <c r="D906" s="64"/>
      <c r="E906" s="65"/>
      <c r="F906" s="66"/>
      <c r="G906" s="63"/>
      <c r="H906" s="67"/>
      <c r="I906" s="68"/>
      <c r="J906" s="68"/>
      <c r="K906" s="32"/>
      <c r="L906" s="75">
        <v>906</v>
      </c>
      <c r="M906" s="75"/>
      <c r="N906" s="70"/>
      <c r="O906" s="77" t="s">
        <v>179</v>
      </c>
      <c r="P906" s="79">
        <v>44992.388437499998</v>
      </c>
      <c r="Q906" s="77" t="s">
        <v>1453</v>
      </c>
      <c r="R906" s="77">
        <v>0</v>
      </c>
      <c r="S906" s="77">
        <v>1</v>
      </c>
      <c r="T906" s="77">
        <v>0</v>
      </c>
      <c r="U906" s="77">
        <v>0</v>
      </c>
      <c r="V906" s="77">
        <v>114</v>
      </c>
      <c r="W906" s="82" t="s">
        <v>2046</v>
      </c>
      <c r="X906" s="77"/>
      <c r="Y906" s="77"/>
      <c r="Z906" s="77"/>
      <c r="AA906" s="77" t="s">
        <v>2660</v>
      </c>
      <c r="AB906" s="77" t="s">
        <v>2714</v>
      </c>
      <c r="AC906" s="82" t="s">
        <v>2719</v>
      </c>
      <c r="AD906" s="77" t="s">
        <v>2752</v>
      </c>
      <c r="AE906" s="80" t="str">
        <f>HYPERLINK("https://twitter.com/andyz_2023/status/1633034589428908033")</f>
        <v>https://twitter.com/andyz_2023/status/1633034589428908033</v>
      </c>
      <c r="AF906" s="79">
        <v>44992.388437499998</v>
      </c>
      <c r="AG906" s="85">
        <v>44992</v>
      </c>
      <c r="AH906" s="82" t="s">
        <v>3647</v>
      </c>
      <c r="AI906" s="77" t="b">
        <v>0</v>
      </c>
      <c r="AJ906" s="77"/>
      <c r="AK906" s="77"/>
      <c r="AL906" s="77"/>
      <c r="AM906" s="77"/>
      <c r="AN906" s="77"/>
      <c r="AO906" s="77"/>
      <c r="AP906" s="77"/>
      <c r="AQ906" s="77" t="s">
        <v>4286</v>
      </c>
      <c r="AR906" s="77"/>
      <c r="AS906" s="77"/>
      <c r="AT906" s="77"/>
      <c r="AU906" s="77"/>
      <c r="AV906" s="80" t="str">
        <f>HYPERLINK("https://pbs.twimg.com/media/Fqm0Te7XwAAYbuT.jpg")</f>
        <v>https://pbs.twimg.com/media/Fqm0Te7XwAAYbuT.jpg</v>
      </c>
      <c r="AW906" s="82" t="s">
        <v>5237</v>
      </c>
      <c r="AX906" s="82" t="s">
        <v>5237</v>
      </c>
      <c r="AY906" s="77"/>
      <c r="AZ906" s="82" t="s">
        <v>5615</v>
      </c>
      <c r="BA906" s="82" t="s">
        <v>5615</v>
      </c>
      <c r="BB906" s="82" t="s">
        <v>5615</v>
      </c>
      <c r="BC906" s="82" t="s">
        <v>5237</v>
      </c>
      <c r="BD906" s="82" t="s">
        <v>6074</v>
      </c>
      <c r="BE906" s="77"/>
      <c r="BF906" s="77"/>
      <c r="BG906" s="77"/>
      <c r="BH906" s="77"/>
      <c r="BI906" s="77"/>
    </row>
    <row r="907" spans="1:61" x14ac:dyDescent="0.25">
      <c r="A907" s="62" t="s">
        <v>532</v>
      </c>
      <c r="B907" s="62" t="s">
        <v>532</v>
      </c>
      <c r="C907" s="63"/>
      <c r="D907" s="64"/>
      <c r="E907" s="65"/>
      <c r="F907" s="66"/>
      <c r="G907" s="63"/>
      <c r="H907" s="67"/>
      <c r="I907" s="68"/>
      <c r="J907" s="68"/>
      <c r="K907" s="32"/>
      <c r="L907" s="75">
        <v>907</v>
      </c>
      <c r="M907" s="75"/>
      <c r="N907" s="70"/>
      <c r="O907" s="77" t="s">
        <v>179</v>
      </c>
      <c r="P907" s="79">
        <v>45114.599594907406</v>
      </c>
      <c r="Q907" s="77" t="s">
        <v>1454</v>
      </c>
      <c r="R907" s="77">
        <v>0</v>
      </c>
      <c r="S907" s="77">
        <v>1</v>
      </c>
      <c r="T907" s="77">
        <v>0</v>
      </c>
      <c r="U907" s="77">
        <v>0</v>
      </c>
      <c r="V907" s="77">
        <v>22</v>
      </c>
      <c r="W907" s="82" t="s">
        <v>2047</v>
      </c>
      <c r="X907" s="77"/>
      <c r="Y907" s="77"/>
      <c r="Z907" s="77"/>
      <c r="AA907" s="77" t="s">
        <v>2661</v>
      </c>
      <c r="AB907" s="77" t="s">
        <v>2714</v>
      </c>
      <c r="AC907" s="82" t="s">
        <v>2719</v>
      </c>
      <c r="AD907" s="77" t="s">
        <v>2752</v>
      </c>
      <c r="AE907" s="80" t="str">
        <f>HYPERLINK("https://twitter.com/andyz_2023/status/1677322432292560899")</f>
        <v>https://twitter.com/andyz_2023/status/1677322432292560899</v>
      </c>
      <c r="AF907" s="79">
        <v>45114.599594907406</v>
      </c>
      <c r="AG907" s="85">
        <v>45114</v>
      </c>
      <c r="AH907" s="82" t="s">
        <v>3648</v>
      </c>
      <c r="AI907" s="77" t="b">
        <v>0</v>
      </c>
      <c r="AJ907" s="77" t="s">
        <v>3751</v>
      </c>
      <c r="AK907" s="77" t="s">
        <v>3752</v>
      </c>
      <c r="AL907" s="77" t="s">
        <v>3755</v>
      </c>
      <c r="AM907" s="77" t="s">
        <v>3773</v>
      </c>
      <c r="AN907" s="77" t="s">
        <v>3791</v>
      </c>
      <c r="AO907" s="77" t="s">
        <v>3807</v>
      </c>
      <c r="AP907" s="77" t="s">
        <v>3808</v>
      </c>
      <c r="AQ907" s="77" t="s">
        <v>4287</v>
      </c>
      <c r="AR907" s="77"/>
      <c r="AS907" s="77"/>
      <c r="AT907" s="77"/>
      <c r="AU907" s="77"/>
      <c r="AV907" s="80" t="str">
        <f>HYPERLINK("https://pbs.twimg.com/media/F0cL3JQWYAQh1B7.jpg")</f>
        <v>https://pbs.twimg.com/media/F0cL3JQWYAQh1B7.jpg</v>
      </c>
      <c r="AW907" s="82" t="s">
        <v>5238</v>
      </c>
      <c r="AX907" s="82" t="s">
        <v>5238</v>
      </c>
      <c r="AY907" s="77"/>
      <c r="AZ907" s="82" t="s">
        <v>5615</v>
      </c>
      <c r="BA907" s="82" t="s">
        <v>5615</v>
      </c>
      <c r="BB907" s="82" t="s">
        <v>5615</v>
      </c>
      <c r="BC907" s="82" t="s">
        <v>5238</v>
      </c>
      <c r="BD907" s="82" t="s">
        <v>6074</v>
      </c>
      <c r="BE907" s="77"/>
      <c r="BF907" s="77"/>
      <c r="BG907" s="77"/>
      <c r="BH907" s="77"/>
      <c r="BI907" s="77"/>
    </row>
    <row r="908" spans="1:61" x14ac:dyDescent="0.25">
      <c r="A908" s="62" t="s">
        <v>532</v>
      </c>
      <c r="B908" s="62" t="s">
        <v>532</v>
      </c>
      <c r="C908" s="63"/>
      <c r="D908" s="64"/>
      <c r="E908" s="65"/>
      <c r="F908" s="66"/>
      <c r="G908" s="63"/>
      <c r="H908" s="67"/>
      <c r="I908" s="68"/>
      <c r="J908" s="68"/>
      <c r="K908" s="32"/>
      <c r="L908" s="75">
        <v>908</v>
      </c>
      <c r="M908" s="75"/>
      <c r="N908" s="70"/>
      <c r="O908" s="77" t="s">
        <v>179</v>
      </c>
      <c r="P908" s="79">
        <v>45063.453287037039</v>
      </c>
      <c r="Q908" s="77" t="s">
        <v>1455</v>
      </c>
      <c r="R908" s="77">
        <v>0</v>
      </c>
      <c r="S908" s="77">
        <v>0</v>
      </c>
      <c r="T908" s="77">
        <v>0</v>
      </c>
      <c r="U908" s="77">
        <v>0</v>
      </c>
      <c r="V908" s="77">
        <v>26</v>
      </c>
      <c r="W908" s="82" t="s">
        <v>2048</v>
      </c>
      <c r="X908" s="77"/>
      <c r="Y908" s="77"/>
      <c r="Z908" s="77"/>
      <c r="AA908" s="77" t="s">
        <v>2662</v>
      </c>
      <c r="AB908" s="77" t="s">
        <v>2714</v>
      </c>
      <c r="AC908" s="82" t="s">
        <v>2719</v>
      </c>
      <c r="AD908" s="77" t="s">
        <v>2752</v>
      </c>
      <c r="AE908" s="80" t="str">
        <f>HYPERLINK("https://twitter.com/andyz_2023/status/1658787628764786688")</f>
        <v>https://twitter.com/andyz_2023/status/1658787628764786688</v>
      </c>
      <c r="AF908" s="79">
        <v>45063.453287037039</v>
      </c>
      <c r="AG908" s="85">
        <v>45063</v>
      </c>
      <c r="AH908" s="82" t="s">
        <v>3649</v>
      </c>
      <c r="AI908" s="77" t="b">
        <v>0</v>
      </c>
      <c r="AJ908" s="77" t="s">
        <v>3751</v>
      </c>
      <c r="AK908" s="77" t="s">
        <v>3752</v>
      </c>
      <c r="AL908" s="77" t="s">
        <v>3755</v>
      </c>
      <c r="AM908" s="77" t="s">
        <v>3773</v>
      </c>
      <c r="AN908" s="77" t="s">
        <v>3791</v>
      </c>
      <c r="AO908" s="77" t="s">
        <v>3807</v>
      </c>
      <c r="AP908" s="77" t="s">
        <v>3808</v>
      </c>
      <c r="AQ908" s="77" t="s">
        <v>4288</v>
      </c>
      <c r="AR908" s="77"/>
      <c r="AS908" s="77"/>
      <c r="AT908" s="77"/>
      <c r="AU908" s="77"/>
      <c r="AV908" s="80" t="str">
        <f>HYPERLINK("https://pbs.twimg.com/media/FwUyjdmXsAIHEIy.png")</f>
        <v>https://pbs.twimg.com/media/FwUyjdmXsAIHEIy.png</v>
      </c>
      <c r="AW908" s="82" t="s">
        <v>5239</v>
      </c>
      <c r="AX908" s="82" t="s">
        <v>5239</v>
      </c>
      <c r="AY908" s="77"/>
      <c r="AZ908" s="82" t="s">
        <v>5615</v>
      </c>
      <c r="BA908" s="82" t="s">
        <v>5615</v>
      </c>
      <c r="BB908" s="82" t="s">
        <v>5615</v>
      </c>
      <c r="BC908" s="82" t="s">
        <v>5239</v>
      </c>
      <c r="BD908" s="82" t="s">
        <v>6074</v>
      </c>
      <c r="BE908" s="77"/>
      <c r="BF908" s="77"/>
      <c r="BG908" s="77"/>
      <c r="BH908" s="77"/>
      <c r="BI908" s="77"/>
    </row>
    <row r="909" spans="1:61" x14ac:dyDescent="0.25">
      <c r="A909" s="62" t="s">
        <v>532</v>
      </c>
      <c r="B909" s="62" t="s">
        <v>532</v>
      </c>
      <c r="C909" s="63"/>
      <c r="D909" s="64"/>
      <c r="E909" s="65"/>
      <c r="F909" s="66"/>
      <c r="G909" s="63"/>
      <c r="H909" s="67"/>
      <c r="I909" s="68"/>
      <c r="J909" s="68"/>
      <c r="K909" s="32"/>
      <c r="L909" s="75">
        <v>909</v>
      </c>
      <c r="M909" s="75"/>
      <c r="N909" s="70"/>
      <c r="O909" s="77" t="s">
        <v>179</v>
      </c>
      <c r="P909" s="79">
        <v>45128.525324074071</v>
      </c>
      <c r="Q909" s="77" t="s">
        <v>1456</v>
      </c>
      <c r="R909" s="77">
        <v>0</v>
      </c>
      <c r="S909" s="77">
        <v>0</v>
      </c>
      <c r="T909" s="77">
        <v>0</v>
      </c>
      <c r="U909" s="77">
        <v>0</v>
      </c>
      <c r="V909" s="77">
        <v>62</v>
      </c>
      <c r="W909" s="82" t="s">
        <v>2049</v>
      </c>
      <c r="X909" s="77"/>
      <c r="Y909" s="77"/>
      <c r="Z909" s="77"/>
      <c r="AA909" s="77" t="s">
        <v>2663</v>
      </c>
      <c r="AB909" s="77" t="s">
        <v>2714</v>
      </c>
      <c r="AC909" s="82" t="s">
        <v>2719</v>
      </c>
      <c r="AD909" s="77" t="s">
        <v>2752</v>
      </c>
      <c r="AE909" s="80" t="str">
        <f>HYPERLINK("https://twitter.com/andyz_2023/status/1682368946530295810")</f>
        <v>https://twitter.com/andyz_2023/status/1682368946530295810</v>
      </c>
      <c r="AF909" s="79">
        <v>45128.525324074071</v>
      </c>
      <c r="AG909" s="85">
        <v>45128</v>
      </c>
      <c r="AH909" s="82" t="s">
        <v>3650</v>
      </c>
      <c r="AI909" s="77" t="b">
        <v>0</v>
      </c>
      <c r="AJ909" s="77" t="s">
        <v>3751</v>
      </c>
      <c r="AK909" s="77" t="s">
        <v>3752</v>
      </c>
      <c r="AL909" s="77" t="s">
        <v>3755</v>
      </c>
      <c r="AM909" s="77" t="s">
        <v>3773</v>
      </c>
      <c r="AN909" s="77" t="s">
        <v>3791</v>
      </c>
      <c r="AO909" s="77" t="s">
        <v>3807</v>
      </c>
      <c r="AP909" s="77" t="s">
        <v>3808</v>
      </c>
      <c r="AQ909" s="77" t="s">
        <v>4289</v>
      </c>
      <c r="AR909" s="77"/>
      <c r="AS909" s="77"/>
      <c r="AT909" s="77"/>
      <c r="AU909" s="77"/>
      <c r="AV909" s="80" t="str">
        <f>HYPERLINK("https://pbs.twimg.com/media/F1j5pB0WAAEaQxr.jpg")</f>
        <v>https://pbs.twimg.com/media/F1j5pB0WAAEaQxr.jpg</v>
      </c>
      <c r="AW909" s="82" t="s">
        <v>5240</v>
      </c>
      <c r="AX909" s="82" t="s">
        <v>5240</v>
      </c>
      <c r="AY909" s="77"/>
      <c r="AZ909" s="82" t="s">
        <v>5615</v>
      </c>
      <c r="BA909" s="82" t="s">
        <v>5615</v>
      </c>
      <c r="BB909" s="82" t="s">
        <v>5615</v>
      </c>
      <c r="BC909" s="82" t="s">
        <v>5240</v>
      </c>
      <c r="BD909" s="82" t="s">
        <v>6074</v>
      </c>
      <c r="BE909" s="77"/>
      <c r="BF909" s="77"/>
      <c r="BG909" s="77"/>
      <c r="BH909" s="77"/>
      <c r="BI909" s="77"/>
    </row>
    <row r="910" spans="1:61" x14ac:dyDescent="0.25">
      <c r="A910" s="62" t="s">
        <v>533</v>
      </c>
      <c r="B910" s="62" t="s">
        <v>533</v>
      </c>
      <c r="C910" s="63"/>
      <c r="D910" s="64"/>
      <c r="E910" s="65"/>
      <c r="F910" s="66"/>
      <c r="G910" s="63"/>
      <c r="H910" s="67"/>
      <c r="I910" s="68"/>
      <c r="J910" s="68"/>
      <c r="K910" s="32"/>
      <c r="L910" s="75">
        <v>910</v>
      </c>
      <c r="M910" s="75"/>
      <c r="N910" s="70"/>
      <c r="O910" s="77" t="s">
        <v>179</v>
      </c>
      <c r="P910" s="79">
        <v>45092.500567129631</v>
      </c>
      <c r="Q910" s="77" t="s">
        <v>1457</v>
      </c>
      <c r="R910" s="77">
        <v>0</v>
      </c>
      <c r="S910" s="77">
        <v>0</v>
      </c>
      <c r="T910" s="77">
        <v>0</v>
      </c>
      <c r="U910" s="77">
        <v>0</v>
      </c>
      <c r="V910" s="77">
        <v>48</v>
      </c>
      <c r="W910" s="82" t="s">
        <v>2050</v>
      </c>
      <c r="X910" s="77"/>
      <c r="Y910" s="77"/>
      <c r="Z910" s="77"/>
      <c r="AA910" s="77" t="s">
        <v>2664</v>
      </c>
      <c r="AB910" s="77" t="s">
        <v>2715</v>
      </c>
      <c r="AC910" s="82" t="s">
        <v>2721</v>
      </c>
      <c r="AD910" s="77" t="s">
        <v>2752</v>
      </c>
      <c r="AE910" s="80" t="str">
        <f>HYPERLINK("https://twitter.com/siacsistemas/status/1669314010691391491")</f>
        <v>https://twitter.com/siacsistemas/status/1669314010691391491</v>
      </c>
      <c r="AF910" s="79">
        <v>45092.500567129631</v>
      </c>
      <c r="AG910" s="85">
        <v>45092</v>
      </c>
      <c r="AH910" s="82" t="s">
        <v>3555</v>
      </c>
      <c r="AI910" s="77" t="b">
        <v>0</v>
      </c>
      <c r="AJ910" s="77"/>
      <c r="AK910" s="77"/>
      <c r="AL910" s="77"/>
      <c r="AM910" s="77"/>
      <c r="AN910" s="77"/>
      <c r="AO910" s="77"/>
      <c r="AP910" s="77"/>
      <c r="AQ910" s="77" t="s">
        <v>4290</v>
      </c>
      <c r="AR910" s="77"/>
      <c r="AS910" s="77"/>
      <c r="AT910" s="77"/>
      <c r="AU910" s="77"/>
      <c r="AV910" s="80" t="str">
        <f>HYPERLINK("https://pbs.twimg.com/media/FyqYPwYXoAEDbkc.jpg")</f>
        <v>https://pbs.twimg.com/media/FyqYPwYXoAEDbkc.jpg</v>
      </c>
      <c r="AW910" s="82" t="s">
        <v>5241</v>
      </c>
      <c r="AX910" s="82" t="s">
        <v>5241</v>
      </c>
      <c r="AY910" s="77"/>
      <c r="AZ910" s="82" t="s">
        <v>5615</v>
      </c>
      <c r="BA910" s="82" t="s">
        <v>5615</v>
      </c>
      <c r="BB910" s="82" t="s">
        <v>5615</v>
      </c>
      <c r="BC910" s="82" t="s">
        <v>5241</v>
      </c>
      <c r="BD910" s="77">
        <v>4870127357</v>
      </c>
      <c r="BE910" s="77"/>
      <c r="BF910" s="77"/>
      <c r="BG910" s="77"/>
      <c r="BH910" s="77"/>
      <c r="BI910" s="77"/>
    </row>
    <row r="911" spans="1:61" x14ac:dyDescent="0.25">
      <c r="A911" s="62" t="s">
        <v>533</v>
      </c>
      <c r="B911" s="62" t="s">
        <v>533</v>
      </c>
      <c r="C911" s="63"/>
      <c r="D911" s="64"/>
      <c r="E911" s="65"/>
      <c r="F911" s="66"/>
      <c r="G911" s="63"/>
      <c r="H911" s="67"/>
      <c r="I911" s="68"/>
      <c r="J911" s="68"/>
      <c r="K911" s="32"/>
      <c r="L911" s="75">
        <v>911</v>
      </c>
      <c r="M911" s="75"/>
      <c r="N911" s="70"/>
      <c r="O911" s="77" t="s">
        <v>179</v>
      </c>
      <c r="P911" s="79">
        <v>45080.500520833331</v>
      </c>
      <c r="Q911" s="77" t="s">
        <v>1458</v>
      </c>
      <c r="R911" s="77">
        <v>0</v>
      </c>
      <c r="S911" s="77">
        <v>0</v>
      </c>
      <c r="T911" s="77">
        <v>0</v>
      </c>
      <c r="U911" s="77">
        <v>0</v>
      </c>
      <c r="V911" s="77">
        <v>31</v>
      </c>
      <c r="W911" s="82" t="s">
        <v>2050</v>
      </c>
      <c r="X911" s="77"/>
      <c r="Y911" s="77"/>
      <c r="Z911" s="77"/>
      <c r="AA911" s="77" t="s">
        <v>2665</v>
      </c>
      <c r="AB911" s="77" t="s">
        <v>2715</v>
      </c>
      <c r="AC911" s="82" t="s">
        <v>2721</v>
      </c>
      <c r="AD911" s="77" t="s">
        <v>2752</v>
      </c>
      <c r="AE911" s="80" t="str">
        <f>HYPERLINK("https://twitter.com/siacsistemas/status/1664965341653479425")</f>
        <v>https://twitter.com/siacsistemas/status/1664965341653479425</v>
      </c>
      <c r="AF911" s="79">
        <v>45080.500520833331</v>
      </c>
      <c r="AG911" s="85">
        <v>45080</v>
      </c>
      <c r="AH911" s="82" t="s">
        <v>3651</v>
      </c>
      <c r="AI911" s="77" t="b">
        <v>0</v>
      </c>
      <c r="AJ911" s="77"/>
      <c r="AK911" s="77"/>
      <c r="AL911" s="77"/>
      <c r="AM911" s="77"/>
      <c r="AN911" s="77"/>
      <c r="AO911" s="77"/>
      <c r="AP911" s="77"/>
      <c r="AQ911" s="77" t="s">
        <v>4291</v>
      </c>
      <c r="AR911" s="77"/>
      <c r="AS911" s="77"/>
      <c r="AT911" s="77"/>
      <c r="AU911" s="77"/>
      <c r="AV911" s="80" t="str">
        <f>HYPERLINK("https://pbs.twimg.com/media/FxslJ5EXgAAkTXv.jpg")</f>
        <v>https://pbs.twimg.com/media/FxslJ5EXgAAkTXv.jpg</v>
      </c>
      <c r="AW911" s="82" t="s">
        <v>5242</v>
      </c>
      <c r="AX911" s="82" t="s">
        <v>5242</v>
      </c>
      <c r="AY911" s="77"/>
      <c r="AZ911" s="82" t="s">
        <v>5615</v>
      </c>
      <c r="BA911" s="82" t="s">
        <v>5615</v>
      </c>
      <c r="BB911" s="82" t="s">
        <v>5615</v>
      </c>
      <c r="BC911" s="82" t="s">
        <v>5242</v>
      </c>
      <c r="BD911" s="77">
        <v>4870127357</v>
      </c>
      <c r="BE911" s="77"/>
      <c r="BF911" s="77"/>
      <c r="BG911" s="77"/>
      <c r="BH911" s="77"/>
      <c r="BI911" s="77"/>
    </row>
    <row r="912" spans="1:61" x14ac:dyDescent="0.25">
      <c r="A912" s="62" t="s">
        <v>534</v>
      </c>
      <c r="B912" s="62" t="s">
        <v>534</v>
      </c>
      <c r="C912" s="63"/>
      <c r="D912" s="64"/>
      <c r="E912" s="65"/>
      <c r="F912" s="66"/>
      <c r="G912" s="63"/>
      <c r="H912" s="67"/>
      <c r="I912" s="68"/>
      <c r="J912" s="68"/>
      <c r="K912" s="32"/>
      <c r="L912" s="75">
        <v>912</v>
      </c>
      <c r="M912" s="75"/>
      <c r="N912" s="70"/>
      <c r="O912" s="77" t="s">
        <v>179</v>
      </c>
      <c r="P912" s="79">
        <v>44982.538541666669</v>
      </c>
      <c r="Q912" s="77" t="s">
        <v>1459</v>
      </c>
      <c r="R912" s="77">
        <v>1</v>
      </c>
      <c r="S912" s="77">
        <v>4</v>
      </c>
      <c r="T912" s="77">
        <v>0</v>
      </c>
      <c r="U912" s="77">
        <v>0</v>
      </c>
      <c r="V912" s="77">
        <v>101</v>
      </c>
      <c r="W912" s="82" t="s">
        <v>2051</v>
      </c>
      <c r="X912" s="77"/>
      <c r="Y912" s="77"/>
      <c r="Z912" s="77"/>
      <c r="AA912" s="77" t="s">
        <v>2666</v>
      </c>
      <c r="AB912" s="77" t="s">
        <v>2714</v>
      </c>
      <c r="AC912" s="82" t="s">
        <v>2720</v>
      </c>
      <c r="AD912" s="77" t="s">
        <v>2752</v>
      </c>
      <c r="AE912" s="80" t="str">
        <f>HYPERLINK("https://twitter.com/fetrabalho1/status/1629465109612445696")</f>
        <v>https://twitter.com/fetrabalho1/status/1629465109612445696</v>
      </c>
      <c r="AF912" s="79">
        <v>44982.538541666669</v>
      </c>
      <c r="AG912" s="85">
        <v>44982</v>
      </c>
      <c r="AH912" s="82" t="s">
        <v>3652</v>
      </c>
      <c r="AI912" s="77" t="b">
        <v>0</v>
      </c>
      <c r="AJ912" s="77"/>
      <c r="AK912" s="77"/>
      <c r="AL912" s="77"/>
      <c r="AM912" s="77"/>
      <c r="AN912" s="77"/>
      <c r="AO912" s="77"/>
      <c r="AP912" s="77"/>
      <c r="AQ912" s="77" t="s">
        <v>4292</v>
      </c>
      <c r="AR912" s="77"/>
      <c r="AS912" s="77"/>
      <c r="AT912" s="77"/>
      <c r="AU912" s="77"/>
      <c r="AV912" s="80" t="str">
        <f>HYPERLINK("https://pbs.twimg.com/media/Fp0F4HvWwAAgG8q.jpg")</f>
        <v>https://pbs.twimg.com/media/Fp0F4HvWwAAgG8q.jpg</v>
      </c>
      <c r="AW912" s="82" t="s">
        <v>5243</v>
      </c>
      <c r="AX912" s="82" t="s">
        <v>5243</v>
      </c>
      <c r="AY912" s="77"/>
      <c r="AZ912" s="82" t="s">
        <v>5615</v>
      </c>
      <c r="BA912" s="82" t="s">
        <v>5615</v>
      </c>
      <c r="BB912" s="82" t="s">
        <v>5615</v>
      </c>
      <c r="BC912" s="82" t="s">
        <v>5243</v>
      </c>
      <c r="BD912" s="82" t="s">
        <v>6075</v>
      </c>
      <c r="BE912" s="77"/>
      <c r="BF912" s="77"/>
      <c r="BG912" s="77"/>
      <c r="BH912" s="77"/>
      <c r="BI912" s="77"/>
    </row>
    <row r="913" spans="1:61" x14ac:dyDescent="0.25">
      <c r="A913" s="62" t="s">
        <v>535</v>
      </c>
      <c r="B913" s="62" t="s">
        <v>535</v>
      </c>
      <c r="C913" s="63"/>
      <c r="D913" s="64"/>
      <c r="E913" s="65"/>
      <c r="F913" s="66"/>
      <c r="G913" s="63"/>
      <c r="H913" s="67"/>
      <c r="I913" s="68"/>
      <c r="J913" s="68"/>
      <c r="K913" s="32"/>
      <c r="L913" s="75">
        <v>913</v>
      </c>
      <c r="M913" s="75"/>
      <c r="N913" s="70"/>
      <c r="O913" s="77" t="s">
        <v>583</v>
      </c>
      <c r="P913" s="79">
        <v>45062.739756944444</v>
      </c>
      <c r="Q913" s="77" t="s">
        <v>1460</v>
      </c>
      <c r="R913" s="77">
        <v>0</v>
      </c>
      <c r="S913" s="77">
        <v>0</v>
      </c>
      <c r="T913" s="77">
        <v>0</v>
      </c>
      <c r="U913" s="77">
        <v>0</v>
      </c>
      <c r="V913" s="77">
        <v>5</v>
      </c>
      <c r="W913" s="82" t="s">
        <v>2052</v>
      </c>
      <c r="X913" s="77"/>
      <c r="Y913" s="77"/>
      <c r="Z913" s="77"/>
      <c r="AA913" s="77"/>
      <c r="AB913" s="77"/>
      <c r="AC913" s="82" t="s">
        <v>2722</v>
      </c>
      <c r="AD913" s="77" t="s">
        <v>2752</v>
      </c>
      <c r="AE913" s="80" t="str">
        <f>HYPERLINK("https://twitter.com/keepgrowing_/status/1658529057019944971")</f>
        <v>https://twitter.com/keepgrowing_/status/1658529057019944971</v>
      </c>
      <c r="AF913" s="79">
        <v>45062.739756944444</v>
      </c>
      <c r="AG913" s="85">
        <v>45062</v>
      </c>
      <c r="AH913" s="82" t="s">
        <v>3653</v>
      </c>
      <c r="AI913" s="77"/>
      <c r="AJ913" s="77"/>
      <c r="AK913" s="77"/>
      <c r="AL913" s="77"/>
      <c r="AM913" s="77"/>
      <c r="AN913" s="77"/>
      <c r="AO913" s="77"/>
      <c r="AP913" s="77"/>
      <c r="AQ913" s="77"/>
      <c r="AR913" s="77"/>
      <c r="AS913" s="77"/>
      <c r="AT913" s="77"/>
      <c r="AU913" s="77"/>
      <c r="AV913" s="80" t="str">
        <f>HYPERLINK("https://pbs.twimg.com/profile_images/1645508547994681345/Cu2nWYBA_normal.jpg")</f>
        <v>https://pbs.twimg.com/profile_images/1645508547994681345/Cu2nWYBA_normal.jpg</v>
      </c>
      <c r="AW913" s="82" t="s">
        <v>5244</v>
      </c>
      <c r="AX913" s="82" t="s">
        <v>5552</v>
      </c>
      <c r="AY913" s="82" t="s">
        <v>5610</v>
      </c>
      <c r="AZ913" s="82" t="s">
        <v>5552</v>
      </c>
      <c r="BA913" s="82" t="s">
        <v>5615</v>
      </c>
      <c r="BB913" s="82" t="s">
        <v>5615</v>
      </c>
      <c r="BC913" s="82" t="s">
        <v>5552</v>
      </c>
      <c r="BD913" s="82" t="s">
        <v>5610</v>
      </c>
      <c r="BE913" s="77"/>
      <c r="BF913" s="77"/>
      <c r="BG913" s="77"/>
      <c r="BH913" s="77"/>
      <c r="BI913" s="77"/>
    </row>
    <row r="914" spans="1:61" x14ac:dyDescent="0.25">
      <c r="A914" s="62" t="s">
        <v>535</v>
      </c>
      <c r="B914" s="62" t="s">
        <v>535</v>
      </c>
      <c r="C914" s="63"/>
      <c r="D914" s="64"/>
      <c r="E914" s="65"/>
      <c r="F914" s="66"/>
      <c r="G914" s="63"/>
      <c r="H914" s="67"/>
      <c r="I914" s="68"/>
      <c r="J914" s="68"/>
      <c r="K914" s="32"/>
      <c r="L914" s="75">
        <v>914</v>
      </c>
      <c r="M914" s="75"/>
      <c r="N914" s="70"/>
      <c r="O914" s="77" t="s">
        <v>179</v>
      </c>
      <c r="P914" s="79">
        <v>45026.808032407411</v>
      </c>
      <c r="Q914" s="77" t="s">
        <v>1461</v>
      </c>
      <c r="R914" s="77">
        <v>0</v>
      </c>
      <c r="S914" s="77">
        <v>0</v>
      </c>
      <c r="T914" s="77">
        <v>0</v>
      </c>
      <c r="U914" s="77">
        <v>0</v>
      </c>
      <c r="V914" s="77">
        <v>103</v>
      </c>
      <c r="W914" s="82" t="s">
        <v>2053</v>
      </c>
      <c r="X914" s="77"/>
      <c r="Y914" s="77"/>
      <c r="Z914" s="77"/>
      <c r="AA914" s="77" t="s">
        <v>2667</v>
      </c>
      <c r="AB914" s="77" t="s">
        <v>2713</v>
      </c>
      <c r="AC914" s="82" t="s">
        <v>2722</v>
      </c>
      <c r="AD914" s="77" t="s">
        <v>2752</v>
      </c>
      <c r="AE914" s="80" t="str">
        <f>HYPERLINK("https://twitter.com/keepgrowing_/status/1645507835722170382")</f>
        <v>https://twitter.com/keepgrowing_/status/1645507835722170382</v>
      </c>
      <c r="AF914" s="79">
        <v>45026.808032407411</v>
      </c>
      <c r="AG914" s="85">
        <v>45026</v>
      </c>
      <c r="AH914" s="82" t="s">
        <v>3654</v>
      </c>
      <c r="AI914" s="77" t="b">
        <v>0</v>
      </c>
      <c r="AJ914" s="77"/>
      <c r="AK914" s="77"/>
      <c r="AL914" s="77"/>
      <c r="AM914" s="77"/>
      <c r="AN914" s="77"/>
      <c r="AO914" s="77"/>
      <c r="AP914" s="77"/>
      <c r="AQ914" s="77" t="s">
        <v>4293</v>
      </c>
      <c r="AR914" s="77">
        <v>40234</v>
      </c>
      <c r="AS914" s="77"/>
      <c r="AT914" s="77"/>
      <c r="AU914" s="77"/>
      <c r="AV914" s="80" t="str">
        <f>HYPERLINK("https://pbs.twimg.com/ext_tw_video_thumb/1645507419726905353/pu/img/ebHOE619r32CStoP.jpg")</f>
        <v>https://pbs.twimg.com/ext_tw_video_thumb/1645507419726905353/pu/img/ebHOE619r32CStoP.jpg</v>
      </c>
      <c r="AW914" s="82" t="s">
        <v>5245</v>
      </c>
      <c r="AX914" s="82" t="s">
        <v>5245</v>
      </c>
      <c r="AY914" s="77"/>
      <c r="AZ914" s="82" t="s">
        <v>5615</v>
      </c>
      <c r="BA914" s="82" t="s">
        <v>5615</v>
      </c>
      <c r="BB914" s="82" t="s">
        <v>5615</v>
      </c>
      <c r="BC914" s="82" t="s">
        <v>5245</v>
      </c>
      <c r="BD914" s="82" t="s">
        <v>5610</v>
      </c>
      <c r="BE914" s="77"/>
      <c r="BF914" s="77"/>
      <c r="BG914" s="77"/>
      <c r="BH914" s="77"/>
      <c r="BI914" s="77"/>
    </row>
    <row r="915" spans="1:61" x14ac:dyDescent="0.25">
      <c r="A915" s="62" t="s">
        <v>535</v>
      </c>
      <c r="B915" s="62" t="s">
        <v>535</v>
      </c>
      <c r="C915" s="63"/>
      <c r="D915" s="64"/>
      <c r="E915" s="65"/>
      <c r="F915" s="66"/>
      <c r="G915" s="63"/>
      <c r="H915" s="67"/>
      <c r="I915" s="68"/>
      <c r="J915" s="68"/>
      <c r="K915" s="32"/>
      <c r="L915" s="75">
        <v>915</v>
      </c>
      <c r="M915" s="75"/>
      <c r="N915" s="70"/>
      <c r="O915" s="77" t="s">
        <v>583</v>
      </c>
      <c r="P915" s="79">
        <v>45112.832002314812</v>
      </c>
      <c r="Q915" s="77" t="s">
        <v>1462</v>
      </c>
      <c r="R915" s="77">
        <v>0</v>
      </c>
      <c r="S915" s="77">
        <v>0</v>
      </c>
      <c r="T915" s="77">
        <v>0</v>
      </c>
      <c r="U915" s="77">
        <v>0</v>
      </c>
      <c r="V915" s="77"/>
      <c r="W915" s="82" t="s">
        <v>2054</v>
      </c>
      <c r="X915" s="77"/>
      <c r="Y915" s="77"/>
      <c r="Z915" s="77"/>
      <c r="AA915" s="77"/>
      <c r="AB915" s="77"/>
      <c r="AC915" s="82" t="s">
        <v>2722</v>
      </c>
      <c r="AD915" s="77" t="s">
        <v>2752</v>
      </c>
      <c r="AE915" s="80" t="str">
        <f>HYPERLINK("https://twitter.com/keepgrowing_/status/1676681877720055813")</f>
        <v>https://twitter.com/keepgrowing_/status/1676681877720055813</v>
      </c>
      <c r="AF915" s="79">
        <v>45112.832002314812</v>
      </c>
      <c r="AG915" s="85">
        <v>45112</v>
      </c>
      <c r="AH915" s="82" t="s">
        <v>3655</v>
      </c>
      <c r="AI915" s="77"/>
      <c r="AJ915" s="77"/>
      <c r="AK915" s="77"/>
      <c r="AL915" s="77"/>
      <c r="AM915" s="77"/>
      <c r="AN915" s="77"/>
      <c r="AO915" s="77"/>
      <c r="AP915" s="77"/>
      <c r="AQ915" s="77"/>
      <c r="AR915" s="77"/>
      <c r="AS915" s="77"/>
      <c r="AT915" s="77"/>
      <c r="AU915" s="77"/>
      <c r="AV915" s="80" t="str">
        <f>HYPERLINK("https://pbs.twimg.com/profile_images/1645508547994681345/Cu2nWYBA_normal.jpg")</f>
        <v>https://pbs.twimg.com/profile_images/1645508547994681345/Cu2nWYBA_normal.jpg</v>
      </c>
      <c r="AW915" s="82" t="s">
        <v>5246</v>
      </c>
      <c r="AX915" s="82" t="s">
        <v>5553</v>
      </c>
      <c r="AY915" s="82" t="s">
        <v>5610</v>
      </c>
      <c r="AZ915" s="82" t="s">
        <v>5829</v>
      </c>
      <c r="BA915" s="82" t="s">
        <v>5615</v>
      </c>
      <c r="BB915" s="82" t="s">
        <v>5615</v>
      </c>
      <c r="BC915" s="82" t="s">
        <v>5829</v>
      </c>
      <c r="BD915" s="82" t="s">
        <v>5610</v>
      </c>
      <c r="BE915" s="77"/>
      <c r="BF915" s="77"/>
      <c r="BG915" s="77"/>
      <c r="BH915" s="77"/>
      <c r="BI915" s="77"/>
    </row>
    <row r="916" spans="1:61" x14ac:dyDescent="0.25">
      <c r="A916" s="62" t="s">
        <v>535</v>
      </c>
      <c r="B916" s="62" t="s">
        <v>535</v>
      </c>
      <c r="C916" s="63"/>
      <c r="D916" s="64"/>
      <c r="E916" s="65"/>
      <c r="F916" s="66"/>
      <c r="G916" s="63"/>
      <c r="H916" s="67"/>
      <c r="I916" s="68"/>
      <c r="J916" s="68"/>
      <c r="K916" s="32"/>
      <c r="L916" s="75">
        <v>916</v>
      </c>
      <c r="M916" s="75"/>
      <c r="N916" s="70"/>
      <c r="O916" s="77" t="s">
        <v>179</v>
      </c>
      <c r="P916" s="79">
        <v>45096.585300925923</v>
      </c>
      <c r="Q916" s="77" t="s">
        <v>1463</v>
      </c>
      <c r="R916" s="77">
        <v>0</v>
      </c>
      <c r="S916" s="77">
        <v>0</v>
      </c>
      <c r="T916" s="77">
        <v>0</v>
      </c>
      <c r="U916" s="77">
        <v>0</v>
      </c>
      <c r="V916" s="77">
        <v>18</v>
      </c>
      <c r="W916" s="82" t="s">
        <v>2055</v>
      </c>
      <c r="X916" s="77"/>
      <c r="Y916" s="77"/>
      <c r="Z916" s="77"/>
      <c r="AA916" s="77" t="s">
        <v>2668</v>
      </c>
      <c r="AB916" s="77" t="s">
        <v>2714</v>
      </c>
      <c r="AC916" s="82" t="s">
        <v>2722</v>
      </c>
      <c r="AD916" s="77" t="s">
        <v>2752</v>
      </c>
      <c r="AE916" s="80" t="str">
        <f>HYPERLINK("https://twitter.com/keepgrowing_/status/1670794270352060421")</f>
        <v>https://twitter.com/keepgrowing_/status/1670794270352060421</v>
      </c>
      <c r="AF916" s="79">
        <v>45096.585300925923</v>
      </c>
      <c r="AG916" s="85">
        <v>45096</v>
      </c>
      <c r="AH916" s="82" t="s">
        <v>3656</v>
      </c>
      <c r="AI916" s="77" t="b">
        <v>0</v>
      </c>
      <c r="AJ916" s="77"/>
      <c r="AK916" s="77"/>
      <c r="AL916" s="77"/>
      <c r="AM916" s="77"/>
      <c r="AN916" s="77"/>
      <c r="AO916" s="77"/>
      <c r="AP916" s="77"/>
      <c r="AQ916" s="77" t="s">
        <v>4294</v>
      </c>
      <c r="AR916" s="77"/>
      <c r="AS916" s="77"/>
      <c r="AT916" s="77"/>
      <c r="AU916" s="77"/>
      <c r="AV916" s="80" t="str">
        <f>HYPERLINK("https://pbs.twimg.com/media/Fy_aeslWcAcH3Zy.jpg")</f>
        <v>https://pbs.twimg.com/media/Fy_aeslWcAcH3Zy.jpg</v>
      </c>
      <c r="AW916" s="82" t="s">
        <v>5247</v>
      </c>
      <c r="AX916" s="82" t="s">
        <v>5247</v>
      </c>
      <c r="AY916" s="77"/>
      <c r="AZ916" s="82" t="s">
        <v>5615</v>
      </c>
      <c r="BA916" s="82" t="s">
        <v>5615</v>
      </c>
      <c r="BB916" s="82" t="s">
        <v>5615</v>
      </c>
      <c r="BC916" s="82" t="s">
        <v>5247</v>
      </c>
      <c r="BD916" s="82" t="s">
        <v>5610</v>
      </c>
      <c r="BE916" s="77"/>
      <c r="BF916" s="77"/>
      <c r="BG916" s="77"/>
      <c r="BH916" s="77"/>
      <c r="BI916" s="77"/>
    </row>
    <row r="917" spans="1:61" x14ac:dyDescent="0.25">
      <c r="A917" s="62" t="s">
        <v>535</v>
      </c>
      <c r="B917" s="62" t="s">
        <v>535</v>
      </c>
      <c r="C917" s="63"/>
      <c r="D917" s="64"/>
      <c r="E917" s="65"/>
      <c r="F917" s="66"/>
      <c r="G917" s="63"/>
      <c r="H917" s="67"/>
      <c r="I917" s="68"/>
      <c r="J917" s="68"/>
      <c r="K917" s="32"/>
      <c r="L917" s="75">
        <v>917</v>
      </c>
      <c r="M917" s="75"/>
      <c r="N917" s="70"/>
      <c r="O917" s="77" t="s">
        <v>583</v>
      </c>
      <c r="P917" s="79">
        <v>45057.700381944444</v>
      </c>
      <c r="Q917" s="77" t="s">
        <v>1464</v>
      </c>
      <c r="R917" s="77">
        <v>0</v>
      </c>
      <c r="S917" s="77">
        <v>0</v>
      </c>
      <c r="T917" s="77">
        <v>0</v>
      </c>
      <c r="U917" s="77">
        <v>0</v>
      </c>
      <c r="V917" s="77">
        <v>6</v>
      </c>
      <c r="W917" s="82" t="s">
        <v>2056</v>
      </c>
      <c r="X917" s="77"/>
      <c r="Y917" s="77"/>
      <c r="Z917" s="77"/>
      <c r="AA917" s="77"/>
      <c r="AB917" s="77"/>
      <c r="AC917" s="82" t="s">
        <v>2722</v>
      </c>
      <c r="AD917" s="77" t="s">
        <v>2752</v>
      </c>
      <c r="AE917" s="80" t="str">
        <f>HYPERLINK("https://twitter.com/keepgrowing_/status/1656702846308433937")</f>
        <v>https://twitter.com/keepgrowing_/status/1656702846308433937</v>
      </c>
      <c r="AF917" s="79">
        <v>45057.700381944444</v>
      </c>
      <c r="AG917" s="85">
        <v>45057</v>
      </c>
      <c r="AH917" s="82" t="s">
        <v>3657</v>
      </c>
      <c r="AI917" s="77"/>
      <c r="AJ917" s="77"/>
      <c r="AK917" s="77"/>
      <c r="AL917" s="77"/>
      <c r="AM917" s="77"/>
      <c r="AN917" s="77"/>
      <c r="AO917" s="77"/>
      <c r="AP917" s="77"/>
      <c r="AQ917" s="77"/>
      <c r="AR917" s="77"/>
      <c r="AS917" s="77"/>
      <c r="AT917" s="77"/>
      <c r="AU917" s="77"/>
      <c r="AV917" s="80" t="str">
        <f>HYPERLINK("https://pbs.twimg.com/profile_images/1645508547994681345/Cu2nWYBA_normal.jpg")</f>
        <v>https://pbs.twimg.com/profile_images/1645508547994681345/Cu2nWYBA_normal.jpg</v>
      </c>
      <c r="AW917" s="82" t="s">
        <v>5248</v>
      </c>
      <c r="AX917" s="82" t="s">
        <v>5554</v>
      </c>
      <c r="AY917" s="82" t="s">
        <v>5610</v>
      </c>
      <c r="AZ917" s="82" t="s">
        <v>5554</v>
      </c>
      <c r="BA917" s="82" t="s">
        <v>5615</v>
      </c>
      <c r="BB917" s="82" t="s">
        <v>5615</v>
      </c>
      <c r="BC917" s="82" t="s">
        <v>5554</v>
      </c>
      <c r="BD917" s="82" t="s">
        <v>5610</v>
      </c>
      <c r="BE917" s="77"/>
      <c r="BF917" s="77"/>
      <c r="BG917" s="77"/>
      <c r="BH917" s="77"/>
      <c r="BI917" s="77"/>
    </row>
    <row r="918" spans="1:61" x14ac:dyDescent="0.25">
      <c r="A918" s="62" t="s">
        <v>535</v>
      </c>
      <c r="B918" s="62" t="s">
        <v>535</v>
      </c>
      <c r="C918" s="63"/>
      <c r="D918" s="64"/>
      <c r="E918" s="65"/>
      <c r="F918" s="66"/>
      <c r="G918" s="63"/>
      <c r="H918" s="67"/>
      <c r="I918" s="68"/>
      <c r="J918" s="68"/>
      <c r="K918" s="32"/>
      <c r="L918" s="75">
        <v>918</v>
      </c>
      <c r="M918" s="75"/>
      <c r="N918" s="70"/>
      <c r="O918" s="77" t="s">
        <v>179</v>
      </c>
      <c r="P918" s="79">
        <v>45155.632881944446</v>
      </c>
      <c r="Q918" s="77" t="s">
        <v>1465</v>
      </c>
      <c r="R918" s="77">
        <v>0</v>
      </c>
      <c r="S918" s="77">
        <v>0</v>
      </c>
      <c r="T918" s="77">
        <v>0</v>
      </c>
      <c r="U918" s="77">
        <v>0</v>
      </c>
      <c r="V918" s="77">
        <v>8</v>
      </c>
      <c r="W918" s="82" t="s">
        <v>2057</v>
      </c>
      <c r="X918" s="77"/>
      <c r="Y918" s="77"/>
      <c r="Z918" s="77"/>
      <c r="AA918" s="77" t="s">
        <v>2669</v>
      </c>
      <c r="AB918" s="77" t="s">
        <v>2714</v>
      </c>
      <c r="AC918" s="82" t="s">
        <v>2722</v>
      </c>
      <c r="AD918" s="77" t="s">
        <v>2752</v>
      </c>
      <c r="AE918" s="80" t="str">
        <f>HYPERLINK("https://twitter.com/keepgrowing_/status/1692192396816028078")</f>
        <v>https://twitter.com/keepgrowing_/status/1692192396816028078</v>
      </c>
      <c r="AF918" s="79">
        <v>45155.632881944446</v>
      </c>
      <c r="AG918" s="85">
        <v>45155</v>
      </c>
      <c r="AH918" s="82" t="s">
        <v>3658</v>
      </c>
      <c r="AI918" s="77" t="b">
        <v>0</v>
      </c>
      <c r="AJ918" s="77"/>
      <c r="AK918" s="77"/>
      <c r="AL918" s="77"/>
      <c r="AM918" s="77"/>
      <c r="AN918" s="77"/>
      <c r="AO918" s="77"/>
      <c r="AP918" s="77"/>
      <c r="AQ918" s="77" t="s">
        <v>4295</v>
      </c>
      <c r="AR918" s="77"/>
      <c r="AS918" s="77"/>
      <c r="AT918" s="77"/>
      <c r="AU918" s="77"/>
      <c r="AV918" s="80" t="str">
        <f>HYPERLINK("https://pbs.twimg.com/media/F3vgAUCWIAAiFH7.jpg")</f>
        <v>https://pbs.twimg.com/media/F3vgAUCWIAAiFH7.jpg</v>
      </c>
      <c r="AW918" s="82" t="s">
        <v>5249</v>
      </c>
      <c r="AX918" s="82" t="s">
        <v>5249</v>
      </c>
      <c r="AY918" s="77"/>
      <c r="AZ918" s="82" t="s">
        <v>5615</v>
      </c>
      <c r="BA918" s="82" t="s">
        <v>5615</v>
      </c>
      <c r="BB918" s="82" t="s">
        <v>5615</v>
      </c>
      <c r="BC918" s="82" t="s">
        <v>5249</v>
      </c>
      <c r="BD918" s="82" t="s">
        <v>5610</v>
      </c>
      <c r="BE918" s="77"/>
      <c r="BF918" s="77"/>
      <c r="BG918" s="77"/>
      <c r="BH918" s="77"/>
      <c r="BI918" s="77"/>
    </row>
    <row r="919" spans="1:61" x14ac:dyDescent="0.25">
      <c r="A919" s="62" t="s">
        <v>535</v>
      </c>
      <c r="B919" s="62" t="s">
        <v>535</v>
      </c>
      <c r="C919" s="63"/>
      <c r="D919" s="64"/>
      <c r="E919" s="65"/>
      <c r="F919" s="66"/>
      <c r="G919" s="63"/>
      <c r="H919" s="67"/>
      <c r="I919" s="68"/>
      <c r="J919" s="68"/>
      <c r="K919" s="32"/>
      <c r="L919" s="75">
        <v>919</v>
      </c>
      <c r="M919" s="75"/>
      <c r="N919" s="70"/>
      <c r="O919" s="77" t="s">
        <v>179</v>
      </c>
      <c r="P919" s="79">
        <v>45119.735405092593</v>
      </c>
      <c r="Q919" s="77" t="s">
        <v>1466</v>
      </c>
      <c r="R919" s="77">
        <v>0</v>
      </c>
      <c r="S919" s="77">
        <v>0</v>
      </c>
      <c r="T919" s="77">
        <v>0</v>
      </c>
      <c r="U919" s="77">
        <v>0</v>
      </c>
      <c r="V919" s="77">
        <v>30</v>
      </c>
      <c r="W919" s="82" t="s">
        <v>2058</v>
      </c>
      <c r="X919" s="77"/>
      <c r="Y919" s="77"/>
      <c r="Z919" s="77"/>
      <c r="AA919" s="77" t="s">
        <v>2670</v>
      </c>
      <c r="AB919" s="77" t="s">
        <v>2714</v>
      </c>
      <c r="AC919" s="82" t="s">
        <v>2722</v>
      </c>
      <c r="AD919" s="77" t="s">
        <v>2752</v>
      </c>
      <c r="AE919" s="80" t="str">
        <f>HYPERLINK("https://twitter.com/keepgrowing_/status/1679183588233707539")</f>
        <v>https://twitter.com/keepgrowing_/status/1679183588233707539</v>
      </c>
      <c r="AF919" s="79">
        <v>45119.735405092593</v>
      </c>
      <c r="AG919" s="85">
        <v>45119</v>
      </c>
      <c r="AH919" s="82" t="s">
        <v>3659</v>
      </c>
      <c r="AI919" s="77" t="b">
        <v>0</v>
      </c>
      <c r="AJ919" s="77"/>
      <c r="AK919" s="77"/>
      <c r="AL919" s="77"/>
      <c r="AM919" s="77"/>
      <c r="AN919" s="77"/>
      <c r="AO919" s="77"/>
      <c r="AP919" s="77"/>
      <c r="AQ919" s="77" t="s">
        <v>4296</v>
      </c>
      <c r="AR919" s="77"/>
      <c r="AS919" s="77"/>
      <c r="AT919" s="77"/>
      <c r="AU919" s="77"/>
      <c r="AV919" s="80" t="str">
        <f>HYPERLINK("https://pbs.twimg.com/media/F02okcBWIAAG9Qw.jpg")</f>
        <v>https://pbs.twimg.com/media/F02okcBWIAAG9Qw.jpg</v>
      </c>
      <c r="AW919" s="82" t="s">
        <v>5250</v>
      </c>
      <c r="AX919" s="82" t="s">
        <v>5250</v>
      </c>
      <c r="AY919" s="77"/>
      <c r="AZ919" s="82" t="s">
        <v>5615</v>
      </c>
      <c r="BA919" s="82" t="s">
        <v>5615</v>
      </c>
      <c r="BB919" s="82" t="s">
        <v>5615</v>
      </c>
      <c r="BC919" s="82" t="s">
        <v>5250</v>
      </c>
      <c r="BD919" s="82" t="s">
        <v>5610</v>
      </c>
      <c r="BE919" s="77"/>
      <c r="BF919" s="77"/>
      <c r="BG919" s="77"/>
      <c r="BH919" s="77"/>
      <c r="BI919" s="77"/>
    </row>
    <row r="920" spans="1:61" x14ac:dyDescent="0.25">
      <c r="A920" s="62" t="s">
        <v>535</v>
      </c>
      <c r="B920" s="62" t="s">
        <v>535</v>
      </c>
      <c r="C920" s="63"/>
      <c r="D920" s="64"/>
      <c r="E920" s="65"/>
      <c r="F920" s="66"/>
      <c r="G920" s="63"/>
      <c r="H920" s="67"/>
      <c r="I920" s="68"/>
      <c r="J920" s="68"/>
      <c r="K920" s="32"/>
      <c r="L920" s="75">
        <v>920</v>
      </c>
      <c r="M920" s="75"/>
      <c r="N920" s="70"/>
      <c r="O920" s="77" t="s">
        <v>179</v>
      </c>
      <c r="P920" s="79">
        <v>45112.544212962966</v>
      </c>
      <c r="Q920" s="77" t="s">
        <v>1467</v>
      </c>
      <c r="R920" s="77">
        <v>0</v>
      </c>
      <c r="S920" s="77">
        <v>1</v>
      </c>
      <c r="T920" s="77">
        <v>0</v>
      </c>
      <c r="U920" s="77">
        <v>0</v>
      </c>
      <c r="V920" s="77">
        <v>5</v>
      </c>
      <c r="W920" s="82" t="s">
        <v>2059</v>
      </c>
      <c r="X920" s="80" t="str">
        <f>HYPERLINK("https://www.keepgrowing.com.br/Pages/228797/desafio-semanal-para-alcancar-a-riqueza")</f>
        <v>https://www.keepgrowing.com.br/Pages/228797/desafio-semanal-para-alcancar-a-riqueza</v>
      </c>
      <c r="Y920" s="77" t="s">
        <v>2129</v>
      </c>
      <c r="Z920" s="77"/>
      <c r="AA920" s="77"/>
      <c r="AB920" s="77"/>
      <c r="AC920" s="82" t="s">
        <v>2722</v>
      </c>
      <c r="AD920" s="77" t="s">
        <v>2752</v>
      </c>
      <c r="AE920" s="80" t="str">
        <f>HYPERLINK("https://twitter.com/keepgrowing_/status/1676577585206099970")</f>
        <v>https://twitter.com/keepgrowing_/status/1676577585206099970</v>
      </c>
      <c r="AF920" s="79">
        <v>45112.544212962966</v>
      </c>
      <c r="AG920" s="85">
        <v>45112</v>
      </c>
      <c r="AH920" s="82" t="s">
        <v>3660</v>
      </c>
      <c r="AI920" s="77" t="b">
        <v>0</v>
      </c>
      <c r="AJ920" s="77"/>
      <c r="AK920" s="77"/>
      <c r="AL920" s="77"/>
      <c r="AM920" s="77"/>
      <c r="AN920" s="77"/>
      <c r="AO920" s="77"/>
      <c r="AP920" s="77"/>
      <c r="AQ920" s="77"/>
      <c r="AR920" s="77"/>
      <c r="AS920" s="77"/>
      <c r="AT920" s="77"/>
      <c r="AU920" s="77"/>
      <c r="AV920" s="80" t="str">
        <f>HYPERLINK("https://pbs.twimg.com/profile_images/1645508547994681345/Cu2nWYBA_normal.jpg")</f>
        <v>https://pbs.twimg.com/profile_images/1645508547994681345/Cu2nWYBA_normal.jpg</v>
      </c>
      <c r="AW920" s="82" t="s">
        <v>5251</v>
      </c>
      <c r="AX920" s="82" t="s">
        <v>5251</v>
      </c>
      <c r="AY920" s="77"/>
      <c r="AZ920" s="82" t="s">
        <v>5615</v>
      </c>
      <c r="BA920" s="82" t="s">
        <v>5615</v>
      </c>
      <c r="BB920" s="82" t="s">
        <v>5615</v>
      </c>
      <c r="BC920" s="82" t="s">
        <v>5251</v>
      </c>
      <c r="BD920" s="82" t="s">
        <v>5610</v>
      </c>
      <c r="BE920" s="77"/>
      <c r="BF920" s="77"/>
      <c r="BG920" s="77"/>
      <c r="BH920" s="77"/>
      <c r="BI920" s="77"/>
    </row>
    <row r="921" spans="1:61" x14ac:dyDescent="0.25">
      <c r="A921" s="62" t="s">
        <v>535</v>
      </c>
      <c r="B921" s="62" t="s">
        <v>535</v>
      </c>
      <c r="C921" s="63"/>
      <c r="D921" s="64"/>
      <c r="E921" s="65"/>
      <c r="F921" s="66"/>
      <c r="G921" s="63"/>
      <c r="H921" s="67"/>
      <c r="I921" s="68"/>
      <c r="J921" s="68"/>
      <c r="K921" s="32"/>
      <c r="L921" s="75">
        <v>921</v>
      </c>
      <c r="M921" s="75"/>
      <c r="N921" s="70"/>
      <c r="O921" s="77" t="s">
        <v>179</v>
      </c>
      <c r="P921" s="79">
        <v>45070.564143518517</v>
      </c>
      <c r="Q921" s="77" t="s">
        <v>1468</v>
      </c>
      <c r="R921" s="77">
        <v>0</v>
      </c>
      <c r="S921" s="77">
        <v>0</v>
      </c>
      <c r="T921" s="77">
        <v>0</v>
      </c>
      <c r="U921" s="77">
        <v>0</v>
      </c>
      <c r="V921" s="77">
        <v>2</v>
      </c>
      <c r="W921" s="82" t="s">
        <v>2060</v>
      </c>
      <c r="X921" s="77"/>
      <c r="Y921" s="77"/>
      <c r="Z921" s="77"/>
      <c r="AA921" s="77" t="s">
        <v>2671</v>
      </c>
      <c r="AB921" s="77" t="s">
        <v>2714</v>
      </c>
      <c r="AC921" s="82" t="s">
        <v>2722</v>
      </c>
      <c r="AD921" s="77" t="s">
        <v>2752</v>
      </c>
      <c r="AE921" s="80" t="str">
        <f>HYPERLINK("https://twitter.com/keepgrowing_/status/1661364517719224320")</f>
        <v>https://twitter.com/keepgrowing_/status/1661364517719224320</v>
      </c>
      <c r="AF921" s="79">
        <v>45070.564143518517</v>
      </c>
      <c r="AG921" s="85">
        <v>45070</v>
      </c>
      <c r="AH921" s="82" t="s">
        <v>3661</v>
      </c>
      <c r="AI921" s="77" t="b">
        <v>0</v>
      </c>
      <c r="AJ921" s="77"/>
      <c r="AK921" s="77"/>
      <c r="AL921" s="77"/>
      <c r="AM921" s="77"/>
      <c r="AN921" s="77"/>
      <c r="AO921" s="77"/>
      <c r="AP921" s="77"/>
      <c r="AQ921" s="77" t="s">
        <v>4297</v>
      </c>
      <c r="AR921" s="77"/>
      <c r="AS921" s="77"/>
      <c r="AT921" s="77"/>
      <c r="AU921" s="77"/>
      <c r="AV921" s="80" t="str">
        <f>HYPERLINK("https://pbs.twimg.com/media/Fw5aNZTWAAAow3s.jpg")</f>
        <v>https://pbs.twimg.com/media/Fw5aNZTWAAAow3s.jpg</v>
      </c>
      <c r="AW921" s="82" t="s">
        <v>5252</v>
      </c>
      <c r="AX921" s="82" t="s">
        <v>5252</v>
      </c>
      <c r="AY921" s="77"/>
      <c r="AZ921" s="82" t="s">
        <v>5615</v>
      </c>
      <c r="BA921" s="82" t="s">
        <v>5615</v>
      </c>
      <c r="BB921" s="82" t="s">
        <v>5615</v>
      </c>
      <c r="BC921" s="82" t="s">
        <v>5252</v>
      </c>
      <c r="BD921" s="82" t="s">
        <v>5610</v>
      </c>
      <c r="BE921" s="77"/>
      <c r="BF921" s="77"/>
      <c r="BG921" s="77"/>
      <c r="BH921" s="77"/>
      <c r="BI921" s="77"/>
    </row>
    <row r="922" spans="1:61" x14ac:dyDescent="0.25">
      <c r="A922" s="62" t="s">
        <v>535</v>
      </c>
      <c r="B922" s="62" t="s">
        <v>535</v>
      </c>
      <c r="C922" s="63"/>
      <c r="D922" s="64"/>
      <c r="E922" s="65"/>
      <c r="F922" s="66"/>
      <c r="G922" s="63"/>
      <c r="H922" s="67"/>
      <c r="I922" s="68"/>
      <c r="J922" s="68"/>
      <c r="K922" s="32"/>
      <c r="L922" s="75">
        <v>922</v>
      </c>
      <c r="M922" s="75"/>
      <c r="N922" s="70"/>
      <c r="O922" s="77" t="s">
        <v>583</v>
      </c>
      <c r="P922" s="79">
        <v>45042.772974537038</v>
      </c>
      <c r="Q922" s="77" t="s">
        <v>1469</v>
      </c>
      <c r="R922" s="77">
        <v>0</v>
      </c>
      <c r="S922" s="77">
        <v>0</v>
      </c>
      <c r="T922" s="77">
        <v>0</v>
      </c>
      <c r="U922" s="77">
        <v>0</v>
      </c>
      <c r="V922" s="77">
        <v>85</v>
      </c>
      <c r="W922" s="82" t="s">
        <v>2061</v>
      </c>
      <c r="X922" s="77"/>
      <c r="Y922" s="77"/>
      <c r="Z922" s="77"/>
      <c r="AA922" s="77"/>
      <c r="AB922" s="77"/>
      <c r="AC922" s="82" t="s">
        <v>2722</v>
      </c>
      <c r="AD922" s="77" t="s">
        <v>2752</v>
      </c>
      <c r="AE922" s="80" t="str">
        <f>HYPERLINK("https://twitter.com/keepgrowing_/status/1651293337469480960")</f>
        <v>https://twitter.com/keepgrowing_/status/1651293337469480960</v>
      </c>
      <c r="AF922" s="79">
        <v>45042.772974537038</v>
      </c>
      <c r="AG922" s="85">
        <v>45042</v>
      </c>
      <c r="AH922" s="82" t="s">
        <v>3662</v>
      </c>
      <c r="AI922" s="77"/>
      <c r="AJ922" s="77"/>
      <c r="AK922" s="77"/>
      <c r="AL922" s="77"/>
      <c r="AM922" s="77"/>
      <c r="AN922" s="77"/>
      <c r="AO922" s="77"/>
      <c r="AP922" s="77"/>
      <c r="AQ922" s="77"/>
      <c r="AR922" s="77"/>
      <c r="AS922" s="77"/>
      <c r="AT922" s="77"/>
      <c r="AU922" s="77"/>
      <c r="AV922" s="80" t="str">
        <f>HYPERLINK("https://pbs.twimg.com/profile_images/1645508547994681345/Cu2nWYBA_normal.jpg")</f>
        <v>https://pbs.twimg.com/profile_images/1645508547994681345/Cu2nWYBA_normal.jpg</v>
      </c>
      <c r="AW922" s="82" t="s">
        <v>5253</v>
      </c>
      <c r="AX922" s="82" t="s">
        <v>5555</v>
      </c>
      <c r="AY922" s="82" t="s">
        <v>5610</v>
      </c>
      <c r="AZ922" s="82" t="s">
        <v>5555</v>
      </c>
      <c r="BA922" s="82" t="s">
        <v>5615</v>
      </c>
      <c r="BB922" s="82" t="s">
        <v>5615</v>
      </c>
      <c r="BC922" s="82" t="s">
        <v>5555</v>
      </c>
      <c r="BD922" s="82" t="s">
        <v>5610</v>
      </c>
      <c r="BE922" s="77"/>
      <c r="BF922" s="77"/>
      <c r="BG922" s="77"/>
      <c r="BH922" s="77"/>
      <c r="BI922" s="77"/>
    </row>
    <row r="923" spans="1:61" x14ac:dyDescent="0.25">
      <c r="A923" s="62" t="s">
        <v>535</v>
      </c>
      <c r="B923" s="62" t="s">
        <v>535</v>
      </c>
      <c r="C923" s="63"/>
      <c r="D923" s="64"/>
      <c r="E923" s="65"/>
      <c r="F923" s="66"/>
      <c r="G923" s="63"/>
      <c r="H923" s="67"/>
      <c r="I923" s="68"/>
      <c r="J923" s="68"/>
      <c r="K923" s="32"/>
      <c r="L923" s="75">
        <v>923</v>
      </c>
      <c r="M923" s="75"/>
      <c r="N923" s="70"/>
      <c r="O923" s="77" t="s">
        <v>179</v>
      </c>
      <c r="P923" s="79">
        <v>45161.731041666666</v>
      </c>
      <c r="Q923" s="77" t="s">
        <v>1470</v>
      </c>
      <c r="R923" s="77">
        <v>0</v>
      </c>
      <c r="S923" s="77">
        <v>0</v>
      </c>
      <c r="T923" s="77">
        <v>0</v>
      </c>
      <c r="U923" s="77">
        <v>0</v>
      </c>
      <c r="V923" s="77">
        <v>8</v>
      </c>
      <c r="W923" s="82" t="s">
        <v>2062</v>
      </c>
      <c r="X923" s="80" t="str">
        <f>HYPERLINK("https://www.keepgrowing.com.br/Pages/229992/melhores-podcasts-de-financas-para-se-manter-informado")</f>
        <v>https://www.keepgrowing.com.br/Pages/229992/melhores-podcasts-de-financas-para-se-manter-informado</v>
      </c>
      <c r="Y923" s="77" t="s">
        <v>2129</v>
      </c>
      <c r="Z923" s="77"/>
      <c r="AA923" s="77"/>
      <c r="AB923" s="77"/>
      <c r="AC923" s="82" t="s">
        <v>2722</v>
      </c>
      <c r="AD923" s="77" t="s">
        <v>2752</v>
      </c>
      <c r="AE923" s="80" t="str">
        <f>HYPERLINK("https://twitter.com/keepgrowing_/status/1694402297558679842")</f>
        <v>https://twitter.com/keepgrowing_/status/1694402297558679842</v>
      </c>
      <c r="AF923" s="79">
        <v>45161.731041666666</v>
      </c>
      <c r="AG923" s="85">
        <v>45161</v>
      </c>
      <c r="AH923" s="82" t="s">
        <v>3663</v>
      </c>
      <c r="AI923" s="77" t="b">
        <v>0</v>
      </c>
      <c r="AJ923" s="77"/>
      <c r="AK923" s="77"/>
      <c r="AL923" s="77"/>
      <c r="AM923" s="77"/>
      <c r="AN923" s="77"/>
      <c r="AO923" s="77"/>
      <c r="AP923" s="77"/>
      <c r="AQ923" s="77"/>
      <c r="AR923" s="77"/>
      <c r="AS923" s="77"/>
      <c r="AT923" s="77"/>
      <c r="AU923" s="77"/>
      <c r="AV923" s="80" t="str">
        <f>HYPERLINK("https://pbs.twimg.com/profile_images/1645508547994681345/Cu2nWYBA_normal.jpg")</f>
        <v>https://pbs.twimg.com/profile_images/1645508547994681345/Cu2nWYBA_normal.jpg</v>
      </c>
      <c r="AW923" s="82" t="s">
        <v>5254</v>
      </c>
      <c r="AX923" s="82" t="s">
        <v>5254</v>
      </c>
      <c r="AY923" s="77"/>
      <c r="AZ923" s="82" t="s">
        <v>5615</v>
      </c>
      <c r="BA923" s="82" t="s">
        <v>5615</v>
      </c>
      <c r="BB923" s="82" t="s">
        <v>5615</v>
      </c>
      <c r="BC923" s="82" t="s">
        <v>5254</v>
      </c>
      <c r="BD923" s="82" t="s">
        <v>5610</v>
      </c>
      <c r="BE923" s="77"/>
      <c r="BF923" s="77"/>
      <c r="BG923" s="77"/>
      <c r="BH923" s="77"/>
      <c r="BI923" s="77"/>
    </row>
    <row r="924" spans="1:61" x14ac:dyDescent="0.25">
      <c r="A924" s="62" t="s">
        <v>535</v>
      </c>
      <c r="B924" s="62" t="s">
        <v>535</v>
      </c>
      <c r="C924" s="63"/>
      <c r="D924" s="64"/>
      <c r="E924" s="65"/>
      <c r="F924" s="66"/>
      <c r="G924" s="63"/>
      <c r="H924" s="67"/>
      <c r="I924" s="68"/>
      <c r="J924" s="68"/>
      <c r="K924" s="32"/>
      <c r="L924" s="75">
        <v>924</v>
      </c>
      <c r="M924" s="75"/>
      <c r="N924" s="70"/>
      <c r="O924" s="77" t="s">
        <v>583</v>
      </c>
      <c r="P924" s="79">
        <v>44945.902812499997</v>
      </c>
      <c r="Q924" s="77" t="s">
        <v>1471</v>
      </c>
      <c r="R924" s="77">
        <v>0</v>
      </c>
      <c r="S924" s="77">
        <v>0</v>
      </c>
      <c r="T924" s="77">
        <v>0</v>
      </c>
      <c r="U924" s="77">
        <v>0</v>
      </c>
      <c r="V924" s="77">
        <v>2</v>
      </c>
      <c r="W924" s="82" t="s">
        <v>2063</v>
      </c>
      <c r="X924" s="77"/>
      <c r="Y924" s="77"/>
      <c r="Z924" s="77"/>
      <c r="AA924" s="77"/>
      <c r="AB924" s="77"/>
      <c r="AC924" s="82" t="s">
        <v>2722</v>
      </c>
      <c r="AD924" s="77" t="s">
        <v>2752</v>
      </c>
      <c r="AE924" s="80" t="str">
        <f>HYPERLINK("https://twitter.com/keepgrowing_/status/1616188763947819008")</f>
        <v>https://twitter.com/keepgrowing_/status/1616188763947819008</v>
      </c>
      <c r="AF924" s="79">
        <v>44945.902812499997</v>
      </c>
      <c r="AG924" s="85">
        <v>44945</v>
      </c>
      <c r="AH924" s="82" t="s">
        <v>3664</v>
      </c>
      <c r="AI924" s="77"/>
      <c r="AJ924" s="77"/>
      <c r="AK924" s="77"/>
      <c r="AL924" s="77"/>
      <c r="AM924" s="77"/>
      <c r="AN924" s="77"/>
      <c r="AO924" s="77"/>
      <c r="AP924" s="77"/>
      <c r="AQ924" s="77"/>
      <c r="AR924" s="77"/>
      <c r="AS924" s="77"/>
      <c r="AT924" s="77"/>
      <c r="AU924" s="77"/>
      <c r="AV924" s="80" t="str">
        <f>HYPERLINK("https://pbs.twimg.com/profile_images/1645508547994681345/Cu2nWYBA_normal.jpg")</f>
        <v>https://pbs.twimg.com/profile_images/1645508547994681345/Cu2nWYBA_normal.jpg</v>
      </c>
      <c r="AW924" s="82" t="s">
        <v>5255</v>
      </c>
      <c r="AX924" s="82" t="s">
        <v>5556</v>
      </c>
      <c r="AY924" s="82" t="s">
        <v>5610</v>
      </c>
      <c r="AZ924" s="82" t="s">
        <v>5556</v>
      </c>
      <c r="BA924" s="82" t="s">
        <v>5615</v>
      </c>
      <c r="BB924" s="82" t="s">
        <v>5615</v>
      </c>
      <c r="BC924" s="82" t="s">
        <v>5556</v>
      </c>
      <c r="BD924" s="82" t="s">
        <v>5610</v>
      </c>
      <c r="BE924" s="77"/>
      <c r="BF924" s="77"/>
      <c r="BG924" s="77"/>
      <c r="BH924" s="77"/>
      <c r="BI924" s="77"/>
    </row>
    <row r="925" spans="1:61" x14ac:dyDescent="0.25">
      <c r="A925" s="62" t="s">
        <v>535</v>
      </c>
      <c r="B925" s="62" t="s">
        <v>535</v>
      </c>
      <c r="C925" s="63"/>
      <c r="D925" s="64"/>
      <c r="E925" s="65"/>
      <c r="F925" s="66"/>
      <c r="G925" s="63"/>
      <c r="H925" s="67"/>
      <c r="I925" s="68"/>
      <c r="J925" s="68"/>
      <c r="K925" s="32"/>
      <c r="L925" s="75">
        <v>925</v>
      </c>
      <c r="M925" s="75"/>
      <c r="N925" s="70"/>
      <c r="O925" s="77" t="s">
        <v>179</v>
      </c>
      <c r="P925" s="79">
        <v>45169.800844907404</v>
      </c>
      <c r="Q925" s="77" t="s">
        <v>1472</v>
      </c>
      <c r="R925" s="77">
        <v>0</v>
      </c>
      <c r="S925" s="77">
        <v>0</v>
      </c>
      <c r="T925" s="77">
        <v>0</v>
      </c>
      <c r="U925" s="77">
        <v>0</v>
      </c>
      <c r="V925" s="77">
        <v>27</v>
      </c>
      <c r="W925" s="82" t="s">
        <v>2064</v>
      </c>
      <c r="X925" s="77"/>
      <c r="Y925" s="77"/>
      <c r="Z925" s="77"/>
      <c r="AA925" s="77" t="s">
        <v>2672</v>
      </c>
      <c r="AB925" s="77" t="s">
        <v>2714</v>
      </c>
      <c r="AC925" s="82" t="s">
        <v>2722</v>
      </c>
      <c r="AD925" s="77" t="s">
        <v>2752</v>
      </c>
      <c r="AE925" s="80" t="str">
        <f>HYPERLINK("https://twitter.com/keepgrowing_/status/1697326694640554459")</f>
        <v>https://twitter.com/keepgrowing_/status/1697326694640554459</v>
      </c>
      <c r="AF925" s="79">
        <v>45169.800844907404</v>
      </c>
      <c r="AG925" s="85">
        <v>45169</v>
      </c>
      <c r="AH925" s="82" t="s">
        <v>3665</v>
      </c>
      <c r="AI925" s="77" t="b">
        <v>0</v>
      </c>
      <c r="AJ925" s="77"/>
      <c r="AK925" s="77"/>
      <c r="AL925" s="77"/>
      <c r="AM925" s="77"/>
      <c r="AN925" s="77"/>
      <c r="AO925" s="77"/>
      <c r="AP925" s="77"/>
      <c r="AQ925" s="77" t="s">
        <v>4298</v>
      </c>
      <c r="AR925" s="77"/>
      <c r="AS925" s="77"/>
      <c r="AT925" s="77"/>
      <c r="AU925" s="77"/>
      <c r="AV925" s="80" t="str">
        <f>HYPERLINK("https://pbs.twimg.com/media/F44doVaXQAAZ6EI.jpg")</f>
        <v>https://pbs.twimg.com/media/F44doVaXQAAZ6EI.jpg</v>
      </c>
      <c r="AW925" s="82" t="s">
        <v>5256</v>
      </c>
      <c r="AX925" s="82" t="s">
        <v>5256</v>
      </c>
      <c r="AY925" s="77"/>
      <c r="AZ925" s="82" t="s">
        <v>5615</v>
      </c>
      <c r="BA925" s="82" t="s">
        <v>5615</v>
      </c>
      <c r="BB925" s="82" t="s">
        <v>5615</v>
      </c>
      <c r="BC925" s="82" t="s">
        <v>5256</v>
      </c>
      <c r="BD925" s="82" t="s">
        <v>5610</v>
      </c>
      <c r="BE925" s="77"/>
      <c r="BF925" s="77"/>
      <c r="BG925" s="77"/>
      <c r="BH925" s="77"/>
      <c r="BI925" s="77"/>
    </row>
    <row r="926" spans="1:61" x14ac:dyDescent="0.25">
      <c r="A926" s="62" t="s">
        <v>535</v>
      </c>
      <c r="B926" s="62" t="s">
        <v>535</v>
      </c>
      <c r="C926" s="63"/>
      <c r="D926" s="64"/>
      <c r="E926" s="65"/>
      <c r="F926" s="66"/>
      <c r="G926" s="63"/>
      <c r="H926" s="67"/>
      <c r="I926" s="68"/>
      <c r="J926" s="68"/>
      <c r="K926" s="32"/>
      <c r="L926" s="75">
        <v>926</v>
      </c>
      <c r="M926" s="75"/>
      <c r="N926" s="70"/>
      <c r="O926" s="77" t="s">
        <v>179</v>
      </c>
      <c r="P926" s="79">
        <v>45168.601956018516</v>
      </c>
      <c r="Q926" s="77" t="s">
        <v>1473</v>
      </c>
      <c r="R926" s="77">
        <v>0</v>
      </c>
      <c r="S926" s="77">
        <v>0</v>
      </c>
      <c r="T926" s="77">
        <v>0</v>
      </c>
      <c r="U926" s="77">
        <v>0</v>
      </c>
      <c r="V926" s="77">
        <v>15</v>
      </c>
      <c r="W926" s="82" t="s">
        <v>2065</v>
      </c>
      <c r="X926" s="77"/>
      <c r="Y926" s="77"/>
      <c r="Z926" s="77"/>
      <c r="AA926" s="77" t="s">
        <v>2673</v>
      </c>
      <c r="AB926" s="77" t="s">
        <v>2714</v>
      </c>
      <c r="AC926" s="82" t="s">
        <v>2722</v>
      </c>
      <c r="AD926" s="77" t="s">
        <v>2752</v>
      </c>
      <c r="AE926" s="80" t="str">
        <f>HYPERLINK("https://twitter.com/keepgrowing_/status/1696892232463257727")</f>
        <v>https://twitter.com/keepgrowing_/status/1696892232463257727</v>
      </c>
      <c r="AF926" s="79">
        <v>45168.601956018516</v>
      </c>
      <c r="AG926" s="85">
        <v>45168</v>
      </c>
      <c r="AH926" s="82" t="s">
        <v>3666</v>
      </c>
      <c r="AI926" s="77" t="b">
        <v>0</v>
      </c>
      <c r="AJ926" s="77"/>
      <c r="AK926" s="77"/>
      <c r="AL926" s="77"/>
      <c r="AM926" s="77"/>
      <c r="AN926" s="77"/>
      <c r="AO926" s="77"/>
      <c r="AP926" s="77"/>
      <c r="AQ926" s="77" t="s">
        <v>4299</v>
      </c>
      <c r="AR926" s="77"/>
      <c r="AS926" s="77"/>
      <c r="AT926" s="77"/>
      <c r="AU926" s="77"/>
      <c r="AV926" s="80" t="str">
        <f>HYPERLINK("https://pbs.twimg.com/media/F4ySfR4W4AE-bKf.jpg")</f>
        <v>https://pbs.twimg.com/media/F4ySfR4W4AE-bKf.jpg</v>
      </c>
      <c r="AW926" s="82" t="s">
        <v>5257</v>
      </c>
      <c r="AX926" s="82" t="s">
        <v>5257</v>
      </c>
      <c r="AY926" s="77"/>
      <c r="AZ926" s="82" t="s">
        <v>5615</v>
      </c>
      <c r="BA926" s="82" t="s">
        <v>5615</v>
      </c>
      <c r="BB926" s="82" t="s">
        <v>5615</v>
      </c>
      <c r="BC926" s="82" t="s">
        <v>5257</v>
      </c>
      <c r="BD926" s="82" t="s">
        <v>5610</v>
      </c>
      <c r="BE926" s="77"/>
      <c r="BF926" s="77"/>
      <c r="BG926" s="77"/>
      <c r="BH926" s="77"/>
      <c r="BI926" s="77"/>
    </row>
    <row r="927" spans="1:61" x14ac:dyDescent="0.25">
      <c r="A927" s="62" t="s">
        <v>535</v>
      </c>
      <c r="B927" s="62" t="s">
        <v>535</v>
      </c>
      <c r="C927" s="63"/>
      <c r="D927" s="64"/>
      <c r="E927" s="65"/>
      <c r="F927" s="66"/>
      <c r="G927" s="63"/>
      <c r="H927" s="67"/>
      <c r="I927" s="68"/>
      <c r="J927" s="68"/>
      <c r="K927" s="32"/>
      <c r="L927" s="75">
        <v>927</v>
      </c>
      <c r="M927" s="75"/>
      <c r="N927" s="70"/>
      <c r="O927" s="77" t="s">
        <v>583</v>
      </c>
      <c r="P927" s="79">
        <v>44999.590520833335</v>
      </c>
      <c r="Q927" s="77" t="s">
        <v>1474</v>
      </c>
      <c r="R927" s="77">
        <v>0</v>
      </c>
      <c r="S927" s="77">
        <v>0</v>
      </c>
      <c r="T927" s="77">
        <v>0</v>
      </c>
      <c r="U927" s="77">
        <v>0</v>
      </c>
      <c r="V927" s="77">
        <v>4</v>
      </c>
      <c r="W927" s="82" t="s">
        <v>2066</v>
      </c>
      <c r="X927" s="77"/>
      <c r="Y927" s="77"/>
      <c r="Z927" s="77"/>
      <c r="AA927" s="77"/>
      <c r="AB927" s="77"/>
      <c r="AC927" s="82" t="s">
        <v>2722</v>
      </c>
      <c r="AD927" s="77" t="s">
        <v>2752</v>
      </c>
      <c r="AE927" s="80" t="str">
        <f>HYPERLINK("https://twitter.com/keepgrowing_/status/1635644538747334660")</f>
        <v>https://twitter.com/keepgrowing_/status/1635644538747334660</v>
      </c>
      <c r="AF927" s="79">
        <v>44999.590520833335</v>
      </c>
      <c r="AG927" s="85">
        <v>44999</v>
      </c>
      <c r="AH927" s="82" t="s">
        <v>3667</v>
      </c>
      <c r="AI927" s="77"/>
      <c r="AJ927" s="77"/>
      <c r="AK927" s="77"/>
      <c r="AL927" s="77"/>
      <c r="AM927" s="77"/>
      <c r="AN927" s="77"/>
      <c r="AO927" s="77"/>
      <c r="AP927" s="77"/>
      <c r="AQ927" s="77"/>
      <c r="AR927" s="77"/>
      <c r="AS927" s="77"/>
      <c r="AT927" s="77"/>
      <c r="AU927" s="77"/>
      <c r="AV927" s="80" t="str">
        <f>HYPERLINK("https://pbs.twimg.com/profile_images/1645508547994681345/Cu2nWYBA_normal.jpg")</f>
        <v>https://pbs.twimg.com/profile_images/1645508547994681345/Cu2nWYBA_normal.jpg</v>
      </c>
      <c r="AW927" s="82" t="s">
        <v>5258</v>
      </c>
      <c r="AX927" s="82" t="s">
        <v>5557</v>
      </c>
      <c r="AY927" s="82" t="s">
        <v>5610</v>
      </c>
      <c r="AZ927" s="82" t="s">
        <v>5557</v>
      </c>
      <c r="BA927" s="82" t="s">
        <v>5615</v>
      </c>
      <c r="BB927" s="82" t="s">
        <v>5615</v>
      </c>
      <c r="BC927" s="82" t="s">
        <v>5557</v>
      </c>
      <c r="BD927" s="82" t="s">
        <v>5610</v>
      </c>
      <c r="BE927" s="77"/>
      <c r="BF927" s="77"/>
      <c r="BG927" s="77"/>
      <c r="BH927" s="77"/>
      <c r="BI927" s="77"/>
    </row>
    <row r="928" spans="1:61" x14ac:dyDescent="0.25">
      <c r="A928" s="62" t="s">
        <v>535</v>
      </c>
      <c r="B928" s="62" t="s">
        <v>535</v>
      </c>
      <c r="C928" s="63"/>
      <c r="D928" s="64"/>
      <c r="E928" s="65"/>
      <c r="F928" s="66"/>
      <c r="G928" s="63"/>
      <c r="H928" s="67"/>
      <c r="I928" s="68"/>
      <c r="J928" s="68"/>
      <c r="K928" s="32"/>
      <c r="L928" s="75">
        <v>928</v>
      </c>
      <c r="M928" s="75"/>
      <c r="N928" s="70"/>
      <c r="O928" s="77" t="s">
        <v>179</v>
      </c>
      <c r="P928" s="79">
        <v>44991.669965277775</v>
      </c>
      <c r="Q928" s="77" t="s">
        <v>1475</v>
      </c>
      <c r="R928" s="77">
        <v>0</v>
      </c>
      <c r="S928" s="77">
        <v>0</v>
      </c>
      <c r="T928" s="77">
        <v>0</v>
      </c>
      <c r="U928" s="77">
        <v>0</v>
      </c>
      <c r="V928" s="77">
        <v>10</v>
      </c>
      <c r="W928" s="82" t="s">
        <v>2067</v>
      </c>
      <c r="X928" s="77"/>
      <c r="Y928" s="77"/>
      <c r="Z928" s="77"/>
      <c r="AA928" s="77" t="s">
        <v>2674</v>
      </c>
      <c r="AB928" s="77" t="s">
        <v>2714</v>
      </c>
      <c r="AC928" s="82" t="s">
        <v>2722</v>
      </c>
      <c r="AD928" s="77" t="s">
        <v>2752</v>
      </c>
      <c r="AE928" s="80" t="str">
        <f>HYPERLINK("https://twitter.com/keepgrowing_/status/1632774226624094216")</f>
        <v>https://twitter.com/keepgrowing_/status/1632774226624094216</v>
      </c>
      <c r="AF928" s="79">
        <v>44991.669965277775</v>
      </c>
      <c r="AG928" s="85">
        <v>44991</v>
      </c>
      <c r="AH928" s="82" t="s">
        <v>3668</v>
      </c>
      <c r="AI928" s="77" t="b">
        <v>0</v>
      </c>
      <c r="AJ928" s="77"/>
      <c r="AK928" s="77"/>
      <c r="AL928" s="77"/>
      <c r="AM928" s="77"/>
      <c r="AN928" s="77"/>
      <c r="AO928" s="77"/>
      <c r="AP928" s="77"/>
      <c r="AQ928" s="77" t="s">
        <v>4300</v>
      </c>
      <c r="AR928" s="77"/>
      <c r="AS928" s="77"/>
      <c r="AT928" s="77"/>
      <c r="AU928" s="77"/>
      <c r="AV928" s="80" t="str">
        <f>HYPERLINK("https://pbs.twimg.com/media/FqjHeSBXoAAroqR.jpg")</f>
        <v>https://pbs.twimg.com/media/FqjHeSBXoAAroqR.jpg</v>
      </c>
      <c r="AW928" s="82" t="s">
        <v>5259</v>
      </c>
      <c r="AX928" s="82" t="s">
        <v>5259</v>
      </c>
      <c r="AY928" s="77"/>
      <c r="AZ928" s="82" t="s">
        <v>5615</v>
      </c>
      <c r="BA928" s="82" t="s">
        <v>5615</v>
      </c>
      <c r="BB928" s="82" t="s">
        <v>5615</v>
      </c>
      <c r="BC928" s="82" t="s">
        <v>5259</v>
      </c>
      <c r="BD928" s="82" t="s">
        <v>5610</v>
      </c>
      <c r="BE928" s="77"/>
      <c r="BF928" s="77"/>
      <c r="BG928" s="77"/>
      <c r="BH928" s="77"/>
      <c r="BI928" s="77"/>
    </row>
    <row r="929" spans="1:61" x14ac:dyDescent="0.25">
      <c r="A929" s="62" t="s">
        <v>535</v>
      </c>
      <c r="B929" s="62" t="s">
        <v>535</v>
      </c>
      <c r="C929" s="63"/>
      <c r="D929" s="64"/>
      <c r="E929" s="65"/>
      <c r="F929" s="66"/>
      <c r="G929" s="63"/>
      <c r="H929" s="67"/>
      <c r="I929" s="68"/>
      <c r="J929" s="68"/>
      <c r="K929" s="32"/>
      <c r="L929" s="75">
        <v>929</v>
      </c>
      <c r="M929" s="75"/>
      <c r="N929" s="70"/>
      <c r="O929" s="77" t="s">
        <v>583</v>
      </c>
      <c r="P929" s="79">
        <v>44939.607777777775</v>
      </c>
      <c r="Q929" s="77" t="s">
        <v>1476</v>
      </c>
      <c r="R929" s="77">
        <v>0</v>
      </c>
      <c r="S929" s="77">
        <v>0</v>
      </c>
      <c r="T929" s="77">
        <v>0</v>
      </c>
      <c r="U929" s="77">
        <v>0</v>
      </c>
      <c r="V929" s="77">
        <v>4</v>
      </c>
      <c r="W929" s="82" t="s">
        <v>2068</v>
      </c>
      <c r="X929" s="77"/>
      <c r="Y929" s="77"/>
      <c r="Z929" s="77"/>
      <c r="AA929" s="77"/>
      <c r="AB929" s="77"/>
      <c r="AC929" s="82" t="s">
        <v>2722</v>
      </c>
      <c r="AD929" s="77" t="s">
        <v>2752</v>
      </c>
      <c r="AE929" s="80" t="str">
        <f>HYPERLINK("https://twitter.com/keepgrowing_/status/1613907521453842432")</f>
        <v>https://twitter.com/keepgrowing_/status/1613907521453842432</v>
      </c>
      <c r="AF929" s="79">
        <v>44939.607777777775</v>
      </c>
      <c r="AG929" s="85">
        <v>44939</v>
      </c>
      <c r="AH929" s="82" t="s">
        <v>3669</v>
      </c>
      <c r="AI929" s="77"/>
      <c r="AJ929" s="77"/>
      <c r="AK929" s="77"/>
      <c r="AL929" s="77"/>
      <c r="AM929" s="77"/>
      <c r="AN929" s="77"/>
      <c r="AO929" s="77"/>
      <c r="AP929" s="77"/>
      <c r="AQ929" s="77"/>
      <c r="AR929" s="77"/>
      <c r="AS929" s="77"/>
      <c r="AT929" s="77"/>
      <c r="AU929" s="77"/>
      <c r="AV929" s="80" t="str">
        <f>HYPERLINK("https://pbs.twimg.com/profile_images/1645508547994681345/Cu2nWYBA_normal.jpg")</f>
        <v>https://pbs.twimg.com/profile_images/1645508547994681345/Cu2nWYBA_normal.jpg</v>
      </c>
      <c r="AW929" s="82" t="s">
        <v>5260</v>
      </c>
      <c r="AX929" s="82" t="s">
        <v>5558</v>
      </c>
      <c r="AY929" s="82" t="s">
        <v>5610</v>
      </c>
      <c r="AZ929" s="82" t="s">
        <v>5558</v>
      </c>
      <c r="BA929" s="82" t="s">
        <v>5615</v>
      </c>
      <c r="BB929" s="82" t="s">
        <v>5615</v>
      </c>
      <c r="BC929" s="82" t="s">
        <v>5558</v>
      </c>
      <c r="BD929" s="82" t="s">
        <v>5610</v>
      </c>
      <c r="BE929" s="77"/>
      <c r="BF929" s="77"/>
      <c r="BG929" s="77"/>
      <c r="BH929" s="77"/>
      <c r="BI929" s="77"/>
    </row>
    <row r="930" spans="1:61" x14ac:dyDescent="0.25">
      <c r="A930" s="62" t="s">
        <v>535</v>
      </c>
      <c r="B930" s="62" t="s">
        <v>535</v>
      </c>
      <c r="C930" s="63"/>
      <c r="D930" s="64"/>
      <c r="E930" s="65"/>
      <c r="F930" s="66"/>
      <c r="G930" s="63"/>
      <c r="H930" s="67"/>
      <c r="I930" s="68"/>
      <c r="J930" s="68"/>
      <c r="K930" s="32"/>
      <c r="L930" s="75">
        <v>930</v>
      </c>
      <c r="M930" s="75"/>
      <c r="N930" s="70"/>
      <c r="O930" s="77" t="s">
        <v>179</v>
      </c>
      <c r="P930" s="79">
        <v>45190.835729166669</v>
      </c>
      <c r="Q930" s="77" t="s">
        <v>1477</v>
      </c>
      <c r="R930" s="77">
        <v>0</v>
      </c>
      <c r="S930" s="77">
        <v>0</v>
      </c>
      <c r="T930" s="77">
        <v>0</v>
      </c>
      <c r="U930" s="77">
        <v>0</v>
      </c>
      <c r="V930" s="77">
        <v>7</v>
      </c>
      <c r="W930" s="82" t="s">
        <v>2069</v>
      </c>
      <c r="X930" s="77"/>
      <c r="Y930" s="77"/>
      <c r="Z930" s="77"/>
      <c r="AA930" s="77" t="s">
        <v>2675</v>
      </c>
      <c r="AB930" s="77" t="s">
        <v>2714</v>
      </c>
      <c r="AC930" s="82" t="s">
        <v>2722</v>
      </c>
      <c r="AD930" s="77" t="s">
        <v>2752</v>
      </c>
      <c r="AE930" s="80" t="str">
        <f>HYPERLINK("https://twitter.com/keepgrowing_/status/1704949482914222321")</f>
        <v>https://twitter.com/keepgrowing_/status/1704949482914222321</v>
      </c>
      <c r="AF930" s="79">
        <v>45190.835729166669</v>
      </c>
      <c r="AG930" s="85">
        <v>45190</v>
      </c>
      <c r="AH930" s="82" t="s">
        <v>3670</v>
      </c>
      <c r="AI930" s="77" t="b">
        <v>0</v>
      </c>
      <c r="AJ930" s="77"/>
      <c r="AK930" s="77"/>
      <c r="AL930" s="77"/>
      <c r="AM930" s="77"/>
      <c r="AN930" s="77"/>
      <c r="AO930" s="77"/>
      <c r="AP930" s="77"/>
      <c r="AQ930" s="77" t="s">
        <v>4301</v>
      </c>
      <c r="AR930" s="77"/>
      <c r="AS930" s="77"/>
      <c r="AT930" s="77"/>
      <c r="AU930" s="77"/>
      <c r="AV930" s="80" t="str">
        <f>HYPERLINK("https://pbs.twimg.com/media/F6kydk0XMAASmZk.jpg")</f>
        <v>https://pbs.twimg.com/media/F6kydk0XMAASmZk.jpg</v>
      </c>
      <c r="AW930" s="82" t="s">
        <v>5261</v>
      </c>
      <c r="AX930" s="82" t="s">
        <v>5261</v>
      </c>
      <c r="AY930" s="77"/>
      <c r="AZ930" s="82" t="s">
        <v>5615</v>
      </c>
      <c r="BA930" s="82" t="s">
        <v>5615</v>
      </c>
      <c r="BB930" s="82" t="s">
        <v>5615</v>
      </c>
      <c r="BC930" s="82" t="s">
        <v>5261</v>
      </c>
      <c r="BD930" s="82" t="s">
        <v>5610</v>
      </c>
      <c r="BE930" s="77"/>
      <c r="BF930" s="77"/>
      <c r="BG930" s="77"/>
      <c r="BH930" s="77"/>
      <c r="BI930" s="77"/>
    </row>
    <row r="931" spans="1:61" x14ac:dyDescent="0.25">
      <c r="A931" s="62" t="s">
        <v>536</v>
      </c>
      <c r="B931" s="62" t="s">
        <v>536</v>
      </c>
      <c r="C931" s="63"/>
      <c r="D931" s="64"/>
      <c r="E931" s="65"/>
      <c r="F931" s="66"/>
      <c r="G931" s="63"/>
      <c r="H931" s="67"/>
      <c r="I931" s="68"/>
      <c r="J931" s="68"/>
      <c r="K931" s="32"/>
      <c r="L931" s="75">
        <v>931</v>
      </c>
      <c r="M931" s="75"/>
      <c r="N931" s="70"/>
      <c r="O931" s="77" t="s">
        <v>179</v>
      </c>
      <c r="P931" s="79">
        <v>45187.728171296294</v>
      </c>
      <c r="Q931" s="77" t="s">
        <v>1478</v>
      </c>
      <c r="R931" s="77">
        <v>0</v>
      </c>
      <c r="S931" s="77">
        <v>0</v>
      </c>
      <c r="T931" s="77">
        <v>0</v>
      </c>
      <c r="U931" s="77">
        <v>0</v>
      </c>
      <c r="V931" s="77">
        <v>20</v>
      </c>
      <c r="W931" s="82" t="s">
        <v>1563</v>
      </c>
      <c r="X931" s="80" t="str">
        <f>HYPERLINK("http://dlvr.it/SwHVfc")</f>
        <v>http://dlvr.it/SwHVfc</v>
      </c>
      <c r="Y931" s="77" t="s">
        <v>2174</v>
      </c>
      <c r="Z931" s="77"/>
      <c r="AA931" s="77" t="s">
        <v>2676</v>
      </c>
      <c r="AB931" s="77" t="s">
        <v>2714</v>
      </c>
      <c r="AC931" s="82" t="s">
        <v>2174</v>
      </c>
      <c r="AD931" s="77" t="s">
        <v>2752</v>
      </c>
      <c r="AE931" s="80" t="str">
        <f>HYPERLINK("https://twitter.com/financas/status/1703823341289865235")</f>
        <v>https://twitter.com/financas/status/1703823341289865235</v>
      </c>
      <c r="AF931" s="79">
        <v>45187.728171296294</v>
      </c>
      <c r="AG931" s="85">
        <v>45187</v>
      </c>
      <c r="AH931" s="82" t="s">
        <v>3671</v>
      </c>
      <c r="AI931" s="77" t="b">
        <v>0</v>
      </c>
      <c r="AJ931" s="77"/>
      <c r="AK931" s="77"/>
      <c r="AL931" s="77"/>
      <c r="AM931" s="77"/>
      <c r="AN931" s="77"/>
      <c r="AO931" s="77"/>
      <c r="AP931" s="77"/>
      <c r="AQ931" s="77" t="s">
        <v>4302</v>
      </c>
      <c r="AR931" s="77"/>
      <c r="AS931" s="77"/>
      <c r="AT931" s="77"/>
      <c r="AU931" s="77"/>
      <c r="AV931" s="80" t="str">
        <f>HYPERLINK("https://pbs.twimg.com/media/F6UyTMuboAARwke.jpg")</f>
        <v>https://pbs.twimg.com/media/F6UyTMuboAARwke.jpg</v>
      </c>
      <c r="AW931" s="82" t="s">
        <v>5262</v>
      </c>
      <c r="AX931" s="82" t="s">
        <v>5262</v>
      </c>
      <c r="AY931" s="77"/>
      <c r="AZ931" s="82" t="s">
        <v>5615</v>
      </c>
      <c r="BA931" s="82" t="s">
        <v>5615</v>
      </c>
      <c r="BB931" s="82" t="s">
        <v>5615</v>
      </c>
      <c r="BC931" s="82" t="s">
        <v>5262</v>
      </c>
      <c r="BD931" s="77">
        <v>25371172</v>
      </c>
      <c r="BE931" s="77"/>
      <c r="BF931" s="77"/>
      <c r="BG931" s="77"/>
      <c r="BH931" s="77"/>
      <c r="BI931" s="77"/>
    </row>
    <row r="932" spans="1:61" x14ac:dyDescent="0.25">
      <c r="A932" s="62" t="s">
        <v>537</v>
      </c>
      <c r="B932" s="62" t="s">
        <v>537</v>
      </c>
      <c r="C932" s="63"/>
      <c r="D932" s="64"/>
      <c r="E932" s="65"/>
      <c r="F932" s="66"/>
      <c r="G932" s="63"/>
      <c r="H932" s="67"/>
      <c r="I932" s="68"/>
      <c r="J932" s="68"/>
      <c r="K932" s="32"/>
      <c r="L932" s="75">
        <v>932</v>
      </c>
      <c r="M932" s="75"/>
      <c r="N932" s="70"/>
      <c r="O932" s="77" t="s">
        <v>179</v>
      </c>
      <c r="P932" s="79">
        <v>45028.066724537035</v>
      </c>
      <c r="Q932" s="77" t="s">
        <v>1479</v>
      </c>
      <c r="R932" s="77">
        <v>0</v>
      </c>
      <c r="S932" s="77">
        <v>0</v>
      </c>
      <c r="T932" s="77">
        <v>0</v>
      </c>
      <c r="U932" s="77">
        <v>0</v>
      </c>
      <c r="V932" s="77">
        <v>102</v>
      </c>
      <c r="W932" s="82" t="s">
        <v>2070</v>
      </c>
      <c r="X932" s="77"/>
      <c r="Y932" s="77"/>
      <c r="Z932" s="77"/>
      <c r="AA932" s="77" t="s">
        <v>2677</v>
      </c>
      <c r="AB932" s="77" t="s">
        <v>2713</v>
      </c>
      <c r="AC932" s="82" t="s">
        <v>2720</v>
      </c>
      <c r="AD932" s="77" t="s">
        <v>2752</v>
      </c>
      <c r="AE932" s="80" t="str">
        <f>HYPERLINK("https://twitter.com/naterciamanuel1/status/1645963968073154562")</f>
        <v>https://twitter.com/naterciamanuel1/status/1645963968073154562</v>
      </c>
      <c r="AF932" s="79">
        <v>45028.066724537035</v>
      </c>
      <c r="AG932" s="85">
        <v>45028</v>
      </c>
      <c r="AH932" s="82" t="s">
        <v>3672</v>
      </c>
      <c r="AI932" s="77" t="b">
        <v>0</v>
      </c>
      <c r="AJ932" s="77"/>
      <c r="AK932" s="77"/>
      <c r="AL932" s="77"/>
      <c r="AM932" s="77"/>
      <c r="AN932" s="77"/>
      <c r="AO932" s="77"/>
      <c r="AP932" s="77"/>
      <c r="AQ932" s="77" t="s">
        <v>4303</v>
      </c>
      <c r="AR932" s="77">
        <v>22433</v>
      </c>
      <c r="AS932" s="77"/>
      <c r="AT932" s="77"/>
      <c r="AU932" s="77"/>
      <c r="AV932" s="80" t="str">
        <f>HYPERLINK("https://pbs.twimg.com/ext_tw_video_thumb/1645963910535688192/pu/img/XCxDhDFtjG96XMA9.jpg")</f>
        <v>https://pbs.twimg.com/ext_tw_video_thumb/1645963910535688192/pu/img/XCxDhDFtjG96XMA9.jpg</v>
      </c>
      <c r="AW932" s="82" t="s">
        <v>5263</v>
      </c>
      <c r="AX932" s="82" t="s">
        <v>5263</v>
      </c>
      <c r="AY932" s="77"/>
      <c r="AZ932" s="82" t="s">
        <v>5615</v>
      </c>
      <c r="BA932" s="82" t="s">
        <v>5615</v>
      </c>
      <c r="BB932" s="82" t="s">
        <v>5615</v>
      </c>
      <c r="BC932" s="82" t="s">
        <v>5263</v>
      </c>
      <c r="BD932" s="82" t="s">
        <v>6076</v>
      </c>
      <c r="BE932" s="77"/>
      <c r="BF932" s="77"/>
      <c r="BG932" s="77"/>
      <c r="BH932" s="77"/>
      <c r="BI932" s="77"/>
    </row>
    <row r="933" spans="1:61" x14ac:dyDescent="0.25">
      <c r="A933" s="62" t="s">
        <v>538</v>
      </c>
      <c r="B933" s="62" t="s">
        <v>538</v>
      </c>
      <c r="C933" s="63"/>
      <c r="D933" s="64"/>
      <c r="E933" s="65"/>
      <c r="F933" s="66"/>
      <c r="G933" s="63"/>
      <c r="H933" s="67"/>
      <c r="I933" s="68"/>
      <c r="J933" s="68"/>
      <c r="K933" s="32"/>
      <c r="L933" s="75">
        <v>933</v>
      </c>
      <c r="M933" s="75"/>
      <c r="N933" s="70"/>
      <c r="O933" s="77" t="s">
        <v>179</v>
      </c>
      <c r="P933" s="79">
        <v>45055.891689814816</v>
      </c>
      <c r="Q933" s="77" t="s">
        <v>1480</v>
      </c>
      <c r="R933" s="77">
        <v>0</v>
      </c>
      <c r="S933" s="77">
        <v>3</v>
      </c>
      <c r="T933" s="77">
        <v>1</v>
      </c>
      <c r="U933" s="77">
        <v>0</v>
      </c>
      <c r="V933" s="77">
        <v>99</v>
      </c>
      <c r="W933" s="82" t="s">
        <v>2071</v>
      </c>
      <c r="X933" s="77"/>
      <c r="Y933" s="77"/>
      <c r="Z933" s="77"/>
      <c r="AA933" s="77"/>
      <c r="AB933" s="77"/>
      <c r="AC933" s="82" t="s">
        <v>2720</v>
      </c>
      <c r="AD933" s="77" t="s">
        <v>2752</v>
      </c>
      <c r="AE933" s="80" t="str">
        <f>HYPERLINK("https://twitter.com/miguelrr_crypto/status/1656047397720453121")</f>
        <v>https://twitter.com/miguelrr_crypto/status/1656047397720453121</v>
      </c>
      <c r="AF933" s="79">
        <v>45055.891689814816</v>
      </c>
      <c r="AG933" s="85">
        <v>45055</v>
      </c>
      <c r="AH933" s="82" t="s">
        <v>3673</v>
      </c>
      <c r="AI933" s="77"/>
      <c r="AJ933" s="77"/>
      <c r="AK933" s="77"/>
      <c r="AL933" s="77"/>
      <c r="AM933" s="77"/>
      <c r="AN933" s="77"/>
      <c r="AO933" s="77"/>
      <c r="AP933" s="77"/>
      <c r="AQ933" s="77"/>
      <c r="AR933" s="77"/>
      <c r="AS933" s="77"/>
      <c r="AT933" s="77"/>
      <c r="AU933" s="77"/>
      <c r="AV933" s="80" t="str">
        <f>HYPERLINK("https://pbs.twimg.com/profile_images/1615467282494328832/K7FOScng_normal.jpg")</f>
        <v>https://pbs.twimg.com/profile_images/1615467282494328832/K7FOScng_normal.jpg</v>
      </c>
      <c r="AW933" s="82" t="s">
        <v>5264</v>
      </c>
      <c r="AX933" s="82" t="s">
        <v>5264</v>
      </c>
      <c r="AY933" s="77"/>
      <c r="AZ933" s="82" t="s">
        <v>5615</v>
      </c>
      <c r="BA933" s="82" t="s">
        <v>5615</v>
      </c>
      <c r="BB933" s="82" t="s">
        <v>5615</v>
      </c>
      <c r="BC933" s="82" t="s">
        <v>5264</v>
      </c>
      <c r="BD933" s="82" t="s">
        <v>6077</v>
      </c>
      <c r="BE933" s="77"/>
      <c r="BF933" s="77"/>
      <c r="BG933" s="77"/>
      <c r="BH933" s="77"/>
      <c r="BI933" s="77"/>
    </row>
    <row r="934" spans="1:61" x14ac:dyDescent="0.25">
      <c r="A934" s="62" t="s">
        <v>539</v>
      </c>
      <c r="B934" s="62" t="s">
        <v>567</v>
      </c>
      <c r="C934" s="63"/>
      <c r="D934" s="64"/>
      <c r="E934" s="65"/>
      <c r="F934" s="66"/>
      <c r="G934" s="63"/>
      <c r="H934" s="67"/>
      <c r="I934" s="68"/>
      <c r="J934" s="68"/>
      <c r="K934" s="32"/>
      <c r="L934" s="75">
        <v>934</v>
      </c>
      <c r="M934" s="75"/>
      <c r="N934" s="70"/>
      <c r="O934" s="77" t="s">
        <v>586</v>
      </c>
      <c r="P934" s="79">
        <v>45071.791712962964</v>
      </c>
      <c r="Q934" s="77" t="s">
        <v>1481</v>
      </c>
      <c r="R934" s="77">
        <v>0</v>
      </c>
      <c r="S934" s="77">
        <v>0</v>
      </c>
      <c r="T934" s="77">
        <v>0</v>
      </c>
      <c r="U934" s="77">
        <v>0</v>
      </c>
      <c r="V934" s="77">
        <v>12</v>
      </c>
      <c r="W934" s="82" t="s">
        <v>2072</v>
      </c>
      <c r="X934" s="77" t="s">
        <v>2126</v>
      </c>
      <c r="Y934" s="77" t="s">
        <v>2175</v>
      </c>
      <c r="Z934" s="77" t="s">
        <v>567</v>
      </c>
      <c r="AA934" s="77"/>
      <c r="AB934" s="77"/>
      <c r="AC934" s="82" t="s">
        <v>2722</v>
      </c>
      <c r="AD934" s="77" t="s">
        <v>2752</v>
      </c>
      <c r="AE934" s="80" t="str">
        <f>HYPERLINK("https://twitter.com/luciane51047000/status/1661809373885202473")</f>
        <v>https://twitter.com/luciane51047000/status/1661809373885202473</v>
      </c>
      <c r="AF934" s="79">
        <v>45071.791712962964</v>
      </c>
      <c r="AG934" s="85">
        <v>45071</v>
      </c>
      <c r="AH934" s="82" t="s">
        <v>3674</v>
      </c>
      <c r="AI934" s="77" t="b">
        <v>0</v>
      </c>
      <c r="AJ934" s="77"/>
      <c r="AK934" s="77"/>
      <c r="AL934" s="77"/>
      <c r="AM934" s="77"/>
      <c r="AN934" s="77"/>
      <c r="AO934" s="77"/>
      <c r="AP934" s="77"/>
      <c r="AQ934" s="77"/>
      <c r="AR934" s="77"/>
      <c r="AS934" s="77"/>
      <c r="AT934" s="77"/>
      <c r="AU934" s="77"/>
      <c r="AV934" s="80" t="str">
        <f>HYPERLINK("https://pbs.twimg.com/profile_images/1576278018435284995/1pd6ks2u_normal.jpg")</f>
        <v>https://pbs.twimg.com/profile_images/1576278018435284995/1pd6ks2u_normal.jpg</v>
      </c>
      <c r="AW934" s="82" t="s">
        <v>5265</v>
      </c>
      <c r="AX934" s="82" t="s">
        <v>5265</v>
      </c>
      <c r="AY934" s="77"/>
      <c r="AZ934" s="82" t="s">
        <v>5615</v>
      </c>
      <c r="BA934" s="82" t="s">
        <v>5615</v>
      </c>
      <c r="BB934" s="82" t="s">
        <v>5615</v>
      </c>
      <c r="BC934" s="82" t="s">
        <v>5265</v>
      </c>
      <c r="BD934" s="82" t="s">
        <v>6078</v>
      </c>
      <c r="BE934" s="77"/>
      <c r="BF934" s="77"/>
      <c r="BG934" s="77"/>
      <c r="BH934" s="77"/>
      <c r="BI934" s="77"/>
    </row>
    <row r="935" spans="1:61" x14ac:dyDescent="0.25">
      <c r="A935" s="62" t="s">
        <v>540</v>
      </c>
      <c r="B935" s="62" t="s">
        <v>540</v>
      </c>
      <c r="C935" s="63"/>
      <c r="D935" s="64"/>
      <c r="E935" s="65"/>
      <c r="F935" s="66"/>
      <c r="G935" s="63"/>
      <c r="H935" s="67"/>
      <c r="I935" s="68"/>
      <c r="J935" s="68"/>
      <c r="K935" s="32"/>
      <c r="L935" s="75">
        <v>935</v>
      </c>
      <c r="M935" s="75"/>
      <c r="N935" s="70"/>
      <c r="O935" s="77" t="s">
        <v>179</v>
      </c>
      <c r="P935" s="79">
        <v>45061.286006944443</v>
      </c>
      <c r="Q935" s="77" t="s">
        <v>1482</v>
      </c>
      <c r="R935" s="77">
        <v>0</v>
      </c>
      <c r="S935" s="77">
        <v>0</v>
      </c>
      <c r="T935" s="77">
        <v>0</v>
      </c>
      <c r="U935" s="77">
        <v>0</v>
      </c>
      <c r="V935" s="77">
        <v>115</v>
      </c>
      <c r="W935" s="82" t="s">
        <v>2073</v>
      </c>
      <c r="X935" s="80" t="str">
        <f>HYPERLINK("https://ev.braip.com/ref?pl=plalye4y&amp;ck=chew8wl8&amp;af=afi5lx4xj")</f>
        <v>https://ev.braip.com/ref?pl=plalye4y&amp;ck=chew8wl8&amp;af=afi5lx4xj</v>
      </c>
      <c r="Y935" s="77" t="s">
        <v>2176</v>
      </c>
      <c r="Z935" s="77"/>
      <c r="AA935" s="77" t="s">
        <v>2678</v>
      </c>
      <c r="AB935" s="77" t="s">
        <v>2716</v>
      </c>
      <c r="AC935" s="82" t="s">
        <v>2719</v>
      </c>
      <c r="AD935" s="77" t="s">
        <v>2752</v>
      </c>
      <c r="AE935" s="80" t="str">
        <f>HYPERLINK("https://twitter.com/rosangela_marq/status/1658002235815604224")</f>
        <v>https://twitter.com/rosangela_marq/status/1658002235815604224</v>
      </c>
      <c r="AF935" s="79">
        <v>45061.286006944443</v>
      </c>
      <c r="AG935" s="85">
        <v>45061</v>
      </c>
      <c r="AH935" s="82" t="s">
        <v>3675</v>
      </c>
      <c r="AI935" s="77" t="b">
        <v>0</v>
      </c>
      <c r="AJ935" s="77"/>
      <c r="AK935" s="77"/>
      <c r="AL935" s="77"/>
      <c r="AM935" s="77"/>
      <c r="AN935" s="77"/>
      <c r="AO935" s="77"/>
      <c r="AP935" s="77"/>
      <c r="AQ935" s="77" t="s">
        <v>4304</v>
      </c>
      <c r="AR935" s="77"/>
      <c r="AS935" s="77"/>
      <c r="AT935" s="77"/>
      <c r="AU935" s="77"/>
      <c r="AV935" s="80" t="str">
        <f>HYPERLINK("https://pbs.twimg.com/media/FwJoPYFXoAEVDf1.jpg")</f>
        <v>https://pbs.twimg.com/media/FwJoPYFXoAEVDf1.jpg</v>
      </c>
      <c r="AW935" s="82" t="s">
        <v>5266</v>
      </c>
      <c r="AX935" s="82" t="s">
        <v>5266</v>
      </c>
      <c r="AY935" s="77"/>
      <c r="AZ935" s="82" t="s">
        <v>5615</v>
      </c>
      <c r="BA935" s="82" t="s">
        <v>5615</v>
      </c>
      <c r="BB935" s="82" t="s">
        <v>5615</v>
      </c>
      <c r="BC935" s="82" t="s">
        <v>5266</v>
      </c>
      <c r="BD935" s="82" t="s">
        <v>6079</v>
      </c>
      <c r="BE935" s="77"/>
      <c r="BF935" s="77"/>
      <c r="BG935" s="77"/>
      <c r="BH935" s="77"/>
      <c r="BI935" s="77"/>
    </row>
    <row r="936" spans="1:61" x14ac:dyDescent="0.25">
      <c r="A936" s="62" t="s">
        <v>541</v>
      </c>
      <c r="B936" s="62" t="s">
        <v>541</v>
      </c>
      <c r="C936" s="63"/>
      <c r="D936" s="64"/>
      <c r="E936" s="65"/>
      <c r="F936" s="66"/>
      <c r="G936" s="63"/>
      <c r="H936" s="67"/>
      <c r="I936" s="68"/>
      <c r="J936" s="68"/>
      <c r="K936" s="32"/>
      <c r="L936" s="75">
        <v>936</v>
      </c>
      <c r="M936" s="75"/>
      <c r="N936" s="70"/>
      <c r="O936" s="77" t="s">
        <v>179</v>
      </c>
      <c r="P936" s="79">
        <v>45108.59716435185</v>
      </c>
      <c r="Q936" s="77" t="s">
        <v>1483</v>
      </c>
      <c r="R936" s="77">
        <v>1</v>
      </c>
      <c r="S936" s="77">
        <v>7</v>
      </c>
      <c r="T936" s="77">
        <v>0</v>
      </c>
      <c r="U936" s="77">
        <v>0</v>
      </c>
      <c r="V936" s="77">
        <v>78</v>
      </c>
      <c r="W936" s="82" t="s">
        <v>2074</v>
      </c>
      <c r="X936" s="77"/>
      <c r="Y936" s="77"/>
      <c r="Z936" s="77"/>
      <c r="AA936" s="77" t="s">
        <v>2679</v>
      </c>
      <c r="AB936" s="77" t="s">
        <v>2714</v>
      </c>
      <c r="AC936" s="82" t="s">
        <v>2722</v>
      </c>
      <c r="AD936" s="77" t="s">
        <v>2752</v>
      </c>
      <c r="AE936" s="80" t="str">
        <f>HYPERLINK("https://twitter.com/conciergebtc/status/1675147223426801665")</f>
        <v>https://twitter.com/conciergebtc/status/1675147223426801665</v>
      </c>
      <c r="AF936" s="79">
        <v>45108.59716435185</v>
      </c>
      <c r="AG936" s="85">
        <v>45108</v>
      </c>
      <c r="AH936" s="82" t="s">
        <v>3676</v>
      </c>
      <c r="AI936" s="77" t="b">
        <v>0</v>
      </c>
      <c r="AJ936" s="77"/>
      <c r="AK936" s="77"/>
      <c r="AL936" s="77"/>
      <c r="AM936" s="77"/>
      <c r="AN936" s="77"/>
      <c r="AO936" s="77"/>
      <c r="AP936" s="77"/>
      <c r="AQ936" s="77" t="s">
        <v>4305</v>
      </c>
      <c r="AR936" s="77"/>
      <c r="AS936" s="77"/>
      <c r="AT936" s="77"/>
      <c r="AU936" s="77"/>
      <c r="AV936" s="80" t="str">
        <f>HYPERLINK("https://pbs.twimg.com/media/Fz9RI_NXgAAY62q.jpg")</f>
        <v>https://pbs.twimg.com/media/Fz9RI_NXgAAY62q.jpg</v>
      </c>
      <c r="AW936" s="82" t="s">
        <v>5267</v>
      </c>
      <c r="AX936" s="82" t="s">
        <v>5267</v>
      </c>
      <c r="AY936" s="77"/>
      <c r="AZ936" s="82" t="s">
        <v>5615</v>
      </c>
      <c r="BA936" s="82" t="s">
        <v>5615</v>
      </c>
      <c r="BB936" s="82" t="s">
        <v>5615</v>
      </c>
      <c r="BC936" s="82" t="s">
        <v>5267</v>
      </c>
      <c r="BD936" s="82" t="s">
        <v>5611</v>
      </c>
      <c r="BE936" s="77"/>
      <c r="BF936" s="77"/>
      <c r="BG936" s="77"/>
      <c r="BH936" s="77"/>
      <c r="BI936" s="77"/>
    </row>
    <row r="937" spans="1:61" x14ac:dyDescent="0.25">
      <c r="A937" s="62" t="s">
        <v>541</v>
      </c>
      <c r="B937" s="62" t="s">
        <v>541</v>
      </c>
      <c r="C937" s="63"/>
      <c r="D937" s="64"/>
      <c r="E937" s="65"/>
      <c r="F937" s="66"/>
      <c r="G937" s="63"/>
      <c r="H937" s="67"/>
      <c r="I937" s="68"/>
      <c r="J937" s="68"/>
      <c r="K937" s="32"/>
      <c r="L937" s="75">
        <v>937</v>
      </c>
      <c r="M937" s="75"/>
      <c r="N937" s="70"/>
      <c r="O937" s="77" t="s">
        <v>583</v>
      </c>
      <c r="P937" s="79">
        <v>45113.647638888891</v>
      </c>
      <c r="Q937" s="77" t="s">
        <v>1484</v>
      </c>
      <c r="R937" s="77">
        <v>0</v>
      </c>
      <c r="S937" s="77">
        <v>0</v>
      </c>
      <c r="T937" s="77">
        <v>0</v>
      </c>
      <c r="U937" s="77">
        <v>0</v>
      </c>
      <c r="V937" s="77">
        <v>25</v>
      </c>
      <c r="W937" s="82" t="s">
        <v>2075</v>
      </c>
      <c r="X937" s="77"/>
      <c r="Y937" s="77"/>
      <c r="Z937" s="77"/>
      <c r="AA937" s="77"/>
      <c r="AB937" s="77"/>
      <c r="AC937" s="82" t="s">
        <v>2722</v>
      </c>
      <c r="AD937" s="77" t="s">
        <v>2752</v>
      </c>
      <c r="AE937" s="80" t="str">
        <f>HYPERLINK("https://twitter.com/conciergebtc/status/1676977454236200961")</f>
        <v>https://twitter.com/conciergebtc/status/1676977454236200961</v>
      </c>
      <c r="AF937" s="79">
        <v>45113.647638888891</v>
      </c>
      <c r="AG937" s="85">
        <v>45113</v>
      </c>
      <c r="AH937" s="82" t="s">
        <v>3677</v>
      </c>
      <c r="AI937" s="77"/>
      <c r="AJ937" s="77"/>
      <c r="AK937" s="77"/>
      <c r="AL937" s="77"/>
      <c r="AM937" s="77"/>
      <c r="AN937" s="77"/>
      <c r="AO937" s="77"/>
      <c r="AP937" s="77"/>
      <c r="AQ937" s="77"/>
      <c r="AR937" s="77"/>
      <c r="AS937" s="77"/>
      <c r="AT937" s="77"/>
      <c r="AU937" s="77"/>
      <c r="AV937" s="80" t="str">
        <f>HYPERLINK("https://pbs.twimg.com/profile_images/1595465759035211778/gwp3Mwa9_normal.jpg")</f>
        <v>https://pbs.twimg.com/profile_images/1595465759035211778/gwp3Mwa9_normal.jpg</v>
      </c>
      <c r="AW937" s="82" t="s">
        <v>5268</v>
      </c>
      <c r="AX937" s="82" t="s">
        <v>5559</v>
      </c>
      <c r="AY937" s="82" t="s">
        <v>5611</v>
      </c>
      <c r="AZ937" s="82" t="s">
        <v>5830</v>
      </c>
      <c r="BA937" s="82" t="s">
        <v>5615</v>
      </c>
      <c r="BB937" s="82" t="s">
        <v>5615</v>
      </c>
      <c r="BC937" s="82" t="s">
        <v>5830</v>
      </c>
      <c r="BD937" s="82" t="s">
        <v>5611</v>
      </c>
      <c r="BE937" s="77"/>
      <c r="BF937" s="77"/>
      <c r="BG937" s="77"/>
      <c r="BH937" s="77"/>
      <c r="BI937" s="77"/>
    </row>
    <row r="938" spans="1:61" x14ac:dyDescent="0.25">
      <c r="A938" s="62" t="s">
        <v>542</v>
      </c>
      <c r="B938" s="62" t="s">
        <v>542</v>
      </c>
      <c r="C938" s="63"/>
      <c r="D938" s="64"/>
      <c r="E938" s="65"/>
      <c r="F938" s="66"/>
      <c r="G938" s="63"/>
      <c r="H938" s="67"/>
      <c r="I938" s="68"/>
      <c r="J938" s="68"/>
      <c r="K938" s="32"/>
      <c r="L938" s="75">
        <v>938</v>
      </c>
      <c r="M938" s="75"/>
      <c r="N938" s="70"/>
      <c r="O938" s="77" t="s">
        <v>179</v>
      </c>
      <c r="P938" s="79">
        <v>44928.658645833333</v>
      </c>
      <c r="Q938" s="77" t="s">
        <v>1485</v>
      </c>
      <c r="R938" s="77">
        <v>0</v>
      </c>
      <c r="S938" s="77">
        <v>0</v>
      </c>
      <c r="T938" s="77">
        <v>0</v>
      </c>
      <c r="U938" s="77">
        <v>0</v>
      </c>
      <c r="V938" s="77">
        <v>63</v>
      </c>
      <c r="W938" s="82" t="s">
        <v>2076</v>
      </c>
      <c r="X938" s="80" t="str">
        <f>HYPERLINK("https://www.economiapersonal.com.ar")</f>
        <v>https://www.economiapersonal.com.ar</v>
      </c>
      <c r="Y938" s="77" t="s">
        <v>2177</v>
      </c>
      <c r="Z938" s="77"/>
      <c r="AA938" s="77" t="s">
        <v>2680</v>
      </c>
      <c r="AB938" s="77" t="s">
        <v>2713</v>
      </c>
      <c r="AC938" s="82" t="s">
        <v>2722</v>
      </c>
      <c r="AD938" s="77" t="s">
        <v>2755</v>
      </c>
      <c r="AE938" s="80" t="str">
        <f>HYPERLINK("https://twitter.com/gustavoipadilla/status/1609939687770099712")</f>
        <v>https://twitter.com/gustavoipadilla/status/1609939687770099712</v>
      </c>
      <c r="AF938" s="79">
        <v>44928.658645833333</v>
      </c>
      <c r="AG938" s="85">
        <v>44928</v>
      </c>
      <c r="AH938" s="82" t="s">
        <v>3678</v>
      </c>
      <c r="AI938" s="77" t="b">
        <v>0</v>
      </c>
      <c r="AJ938" s="77"/>
      <c r="AK938" s="77"/>
      <c r="AL938" s="77"/>
      <c r="AM938" s="77"/>
      <c r="AN938" s="77"/>
      <c r="AO938" s="77"/>
      <c r="AP938" s="77"/>
      <c r="AQ938" s="77" t="s">
        <v>4306</v>
      </c>
      <c r="AR938" s="77">
        <v>16040</v>
      </c>
      <c r="AS938" s="77"/>
      <c r="AT938" s="77"/>
      <c r="AU938" s="77"/>
      <c r="AV938" s="80" t="str">
        <f>HYPERLINK("https://pbs.twimg.com/ext_tw_video_thumb/1579567084069130251/pu/img/p_-rNi9HtOrp2902.jpg")</f>
        <v>https://pbs.twimg.com/ext_tw_video_thumb/1579567084069130251/pu/img/p_-rNi9HtOrp2902.jpg</v>
      </c>
      <c r="AW938" s="82" t="s">
        <v>5269</v>
      </c>
      <c r="AX938" s="82" t="s">
        <v>5269</v>
      </c>
      <c r="AY938" s="77"/>
      <c r="AZ938" s="82" t="s">
        <v>5615</v>
      </c>
      <c r="BA938" s="82" t="s">
        <v>5615</v>
      </c>
      <c r="BB938" s="82" t="s">
        <v>5615</v>
      </c>
      <c r="BC938" s="82" t="s">
        <v>5269</v>
      </c>
      <c r="BD938" s="82" t="s">
        <v>6080</v>
      </c>
      <c r="BE938" s="77"/>
      <c r="BF938" s="77"/>
      <c r="BG938" s="77"/>
      <c r="BH938" s="77"/>
      <c r="BI938" s="77"/>
    </row>
    <row r="939" spans="1:61" x14ac:dyDescent="0.25">
      <c r="A939" s="62" t="s">
        <v>542</v>
      </c>
      <c r="B939" s="62" t="s">
        <v>542</v>
      </c>
      <c r="C939" s="63"/>
      <c r="D939" s="64"/>
      <c r="E939" s="65"/>
      <c r="F939" s="66"/>
      <c r="G939" s="63"/>
      <c r="H939" s="67"/>
      <c r="I939" s="68"/>
      <c r="J939" s="68"/>
      <c r="K939" s="32"/>
      <c r="L939" s="75">
        <v>939</v>
      </c>
      <c r="M939" s="75"/>
      <c r="N939" s="70"/>
      <c r="O939" s="77" t="s">
        <v>179</v>
      </c>
      <c r="P939" s="79">
        <v>44988.692141203705</v>
      </c>
      <c r="Q939" s="77" t="s">
        <v>1486</v>
      </c>
      <c r="R939" s="77">
        <v>0</v>
      </c>
      <c r="S939" s="77">
        <v>0</v>
      </c>
      <c r="T939" s="77">
        <v>0</v>
      </c>
      <c r="U939" s="77">
        <v>0</v>
      </c>
      <c r="V939" s="77">
        <v>41</v>
      </c>
      <c r="W939" s="82" t="s">
        <v>1563</v>
      </c>
      <c r="X939" s="80" t="str">
        <f>HYPERLINK("https://www.economiapersonal.com.ar/libertad-financiera")</f>
        <v>https://www.economiapersonal.com.ar/libertad-financiera</v>
      </c>
      <c r="Y939" s="77" t="s">
        <v>2177</v>
      </c>
      <c r="Z939" s="77"/>
      <c r="AA939" s="77" t="s">
        <v>2681</v>
      </c>
      <c r="AB939" s="77" t="s">
        <v>2714</v>
      </c>
      <c r="AC939" s="82" t="s">
        <v>2722</v>
      </c>
      <c r="AD939" s="77" t="s">
        <v>2752</v>
      </c>
      <c r="AE939" s="80" t="str">
        <f>HYPERLINK("https://twitter.com/gustavoipadilla/status/1631695098751614994")</f>
        <v>https://twitter.com/gustavoipadilla/status/1631695098751614994</v>
      </c>
      <c r="AF939" s="79">
        <v>44988.692141203705</v>
      </c>
      <c r="AG939" s="85">
        <v>44988</v>
      </c>
      <c r="AH939" s="82" t="s">
        <v>3679</v>
      </c>
      <c r="AI939" s="77" t="b">
        <v>0</v>
      </c>
      <c r="AJ939" s="77"/>
      <c r="AK939" s="77"/>
      <c r="AL939" s="77"/>
      <c r="AM939" s="77"/>
      <c r="AN939" s="77"/>
      <c r="AO939" s="77"/>
      <c r="AP939" s="77"/>
      <c r="AQ939" s="77" t="s">
        <v>4307</v>
      </c>
      <c r="AR939" s="77"/>
      <c r="AS939" s="77"/>
      <c r="AT939" s="77"/>
      <c r="AU939" s="77"/>
      <c r="AV939" s="80" t="str">
        <f>HYPERLINK("https://pbs.twimg.com/media/FqTyBrtWAAYLHIu.png")</f>
        <v>https://pbs.twimg.com/media/FqTyBrtWAAYLHIu.png</v>
      </c>
      <c r="AW939" s="82" t="s">
        <v>5270</v>
      </c>
      <c r="AX939" s="82" t="s">
        <v>5270</v>
      </c>
      <c r="AY939" s="77"/>
      <c r="AZ939" s="82" t="s">
        <v>5615</v>
      </c>
      <c r="BA939" s="82" t="s">
        <v>5615</v>
      </c>
      <c r="BB939" s="82" t="s">
        <v>5615</v>
      </c>
      <c r="BC939" s="82" t="s">
        <v>5270</v>
      </c>
      <c r="BD939" s="82" t="s">
        <v>6080</v>
      </c>
      <c r="BE939" s="77"/>
      <c r="BF939" s="77"/>
      <c r="BG939" s="77"/>
      <c r="BH939" s="77"/>
      <c r="BI939" s="77"/>
    </row>
    <row r="940" spans="1:61" x14ac:dyDescent="0.25">
      <c r="A940" s="62" t="s">
        <v>542</v>
      </c>
      <c r="B940" s="62" t="s">
        <v>542</v>
      </c>
      <c r="C940" s="63"/>
      <c r="D940" s="64"/>
      <c r="E940" s="65"/>
      <c r="F940" s="66"/>
      <c r="G940" s="63"/>
      <c r="H940" s="67"/>
      <c r="I940" s="68"/>
      <c r="J940" s="68"/>
      <c r="K940" s="32"/>
      <c r="L940" s="75">
        <v>940</v>
      </c>
      <c r="M940" s="75"/>
      <c r="N940" s="70"/>
      <c r="O940" s="77" t="s">
        <v>179</v>
      </c>
      <c r="P940" s="79">
        <v>45036.671180555553</v>
      </c>
      <c r="Q940" s="77" t="s">
        <v>1487</v>
      </c>
      <c r="R940" s="77">
        <v>0</v>
      </c>
      <c r="S940" s="77">
        <v>1</v>
      </c>
      <c r="T940" s="77">
        <v>0</v>
      </c>
      <c r="U940" s="77">
        <v>0</v>
      </c>
      <c r="V940" s="77">
        <v>51</v>
      </c>
      <c r="W940" s="82" t="s">
        <v>1563</v>
      </c>
      <c r="X940" s="80" t="str">
        <f>HYPERLINK("https://www.economiapersonal.com.ar/libertad-financiera")</f>
        <v>https://www.economiapersonal.com.ar/libertad-financiera</v>
      </c>
      <c r="Y940" s="77" t="s">
        <v>2177</v>
      </c>
      <c r="Z940" s="77"/>
      <c r="AA940" s="77" t="s">
        <v>2681</v>
      </c>
      <c r="AB940" s="77" t="s">
        <v>2714</v>
      </c>
      <c r="AC940" s="82" t="s">
        <v>2749</v>
      </c>
      <c r="AD940" s="77" t="s">
        <v>2752</v>
      </c>
      <c r="AE940" s="80" t="str">
        <f>HYPERLINK("https://twitter.com/gustavoipadilla/status/1649082121275727877")</f>
        <v>https://twitter.com/gustavoipadilla/status/1649082121275727877</v>
      </c>
      <c r="AF940" s="79">
        <v>45036.671180555553</v>
      </c>
      <c r="AG940" s="85">
        <v>45036</v>
      </c>
      <c r="AH940" s="82" t="s">
        <v>3680</v>
      </c>
      <c r="AI940" s="77" t="b">
        <v>0</v>
      </c>
      <c r="AJ940" s="77"/>
      <c r="AK940" s="77"/>
      <c r="AL940" s="77"/>
      <c r="AM940" s="77"/>
      <c r="AN940" s="77"/>
      <c r="AO940" s="77"/>
      <c r="AP940" s="77"/>
      <c r="AQ940" s="77" t="s">
        <v>4307</v>
      </c>
      <c r="AR940" s="77"/>
      <c r="AS940" s="77"/>
      <c r="AT940" s="77"/>
      <c r="AU940" s="77"/>
      <c r="AV940" s="80" t="str">
        <f>HYPERLINK("https://pbs.twimg.com/media/FqTyBrtWAAYLHIu.png")</f>
        <v>https://pbs.twimg.com/media/FqTyBrtWAAYLHIu.png</v>
      </c>
      <c r="AW940" s="82" t="s">
        <v>5271</v>
      </c>
      <c r="AX940" s="82" t="s">
        <v>5271</v>
      </c>
      <c r="AY940" s="77"/>
      <c r="AZ940" s="82" t="s">
        <v>5615</v>
      </c>
      <c r="BA940" s="82" t="s">
        <v>5615</v>
      </c>
      <c r="BB940" s="82" t="s">
        <v>5615</v>
      </c>
      <c r="BC940" s="82" t="s">
        <v>5271</v>
      </c>
      <c r="BD940" s="82" t="s">
        <v>6080</v>
      </c>
      <c r="BE940" s="77"/>
      <c r="BF940" s="77"/>
      <c r="BG940" s="77"/>
      <c r="BH940" s="77"/>
      <c r="BI940" s="77"/>
    </row>
    <row r="941" spans="1:61" x14ac:dyDescent="0.25">
      <c r="A941" s="62" t="s">
        <v>542</v>
      </c>
      <c r="B941" s="62" t="s">
        <v>542</v>
      </c>
      <c r="C941" s="63"/>
      <c r="D941" s="64"/>
      <c r="E941" s="65"/>
      <c r="F941" s="66"/>
      <c r="G941" s="63"/>
      <c r="H941" s="67"/>
      <c r="I941" s="68"/>
      <c r="J941" s="68"/>
      <c r="K941" s="32"/>
      <c r="L941" s="75">
        <v>941</v>
      </c>
      <c r="M941" s="75"/>
      <c r="N941" s="70"/>
      <c r="O941" s="77" t="s">
        <v>179</v>
      </c>
      <c r="P941" s="79">
        <v>45033.788506944446</v>
      </c>
      <c r="Q941" s="77" t="s">
        <v>1488</v>
      </c>
      <c r="R941" s="77">
        <v>0</v>
      </c>
      <c r="S941" s="77">
        <v>0</v>
      </c>
      <c r="T941" s="77">
        <v>0</v>
      </c>
      <c r="U941" s="77">
        <v>0</v>
      </c>
      <c r="V941" s="77">
        <v>57</v>
      </c>
      <c r="W941" s="82" t="s">
        <v>1563</v>
      </c>
      <c r="X941" s="80" t="str">
        <f>HYPERLINK("https://www.economiapersonal.com.ar/libertad-financiera")</f>
        <v>https://www.economiapersonal.com.ar/libertad-financiera</v>
      </c>
      <c r="Y941" s="77" t="s">
        <v>2177</v>
      </c>
      <c r="Z941" s="77"/>
      <c r="AA941" s="77" t="s">
        <v>2682</v>
      </c>
      <c r="AB941" s="77" t="s">
        <v>2714</v>
      </c>
      <c r="AC941" s="82" t="s">
        <v>2722</v>
      </c>
      <c r="AD941" s="77" t="s">
        <v>2753</v>
      </c>
      <c r="AE941" s="80" t="str">
        <f>HYPERLINK("https://twitter.com/gustavoipadilla/status/1648037473149153311")</f>
        <v>https://twitter.com/gustavoipadilla/status/1648037473149153311</v>
      </c>
      <c r="AF941" s="79">
        <v>45033.788506944446</v>
      </c>
      <c r="AG941" s="85">
        <v>45033</v>
      </c>
      <c r="AH941" s="82" t="s">
        <v>3681</v>
      </c>
      <c r="AI941" s="77" t="b">
        <v>0</v>
      </c>
      <c r="AJ941" s="77"/>
      <c r="AK941" s="77"/>
      <c r="AL941" s="77"/>
      <c r="AM941" s="77"/>
      <c r="AN941" s="77"/>
      <c r="AO941" s="77"/>
      <c r="AP941" s="77"/>
      <c r="AQ941" s="77" t="s">
        <v>4308</v>
      </c>
      <c r="AR941" s="77"/>
      <c r="AS941" s="77"/>
      <c r="AT941" s="77"/>
      <c r="AU941" s="77"/>
      <c r="AV941" s="80" t="str">
        <f>HYPERLINK("https://pbs.twimg.com/media/E24Di2hWQAQjh-q.jpg")</f>
        <v>https://pbs.twimg.com/media/E24Di2hWQAQjh-q.jpg</v>
      </c>
      <c r="AW941" s="82" t="s">
        <v>5272</v>
      </c>
      <c r="AX941" s="82" t="s">
        <v>5272</v>
      </c>
      <c r="AY941" s="77"/>
      <c r="AZ941" s="82" t="s">
        <v>5615</v>
      </c>
      <c r="BA941" s="82" t="s">
        <v>5615</v>
      </c>
      <c r="BB941" s="82" t="s">
        <v>5615</v>
      </c>
      <c r="BC941" s="82" t="s">
        <v>5272</v>
      </c>
      <c r="BD941" s="82" t="s">
        <v>6080</v>
      </c>
      <c r="BE941" s="77"/>
      <c r="BF941" s="77"/>
      <c r="BG941" s="77"/>
      <c r="BH941" s="77"/>
      <c r="BI941" s="77"/>
    </row>
    <row r="942" spans="1:61" x14ac:dyDescent="0.25">
      <c r="A942" s="62" t="s">
        <v>542</v>
      </c>
      <c r="B942" s="62" t="s">
        <v>542</v>
      </c>
      <c r="C942" s="63"/>
      <c r="D942" s="64"/>
      <c r="E942" s="65"/>
      <c r="F942" s="66"/>
      <c r="G942" s="63"/>
      <c r="H942" s="67"/>
      <c r="I942" s="68"/>
      <c r="J942" s="68"/>
      <c r="K942" s="32"/>
      <c r="L942" s="75">
        <v>942</v>
      </c>
      <c r="M942" s="75"/>
      <c r="N942" s="70"/>
      <c r="O942" s="77" t="s">
        <v>179</v>
      </c>
      <c r="P942" s="79">
        <v>44937.608391203707</v>
      </c>
      <c r="Q942" s="77" t="s">
        <v>1485</v>
      </c>
      <c r="R942" s="77">
        <v>0</v>
      </c>
      <c r="S942" s="77">
        <v>0</v>
      </c>
      <c r="T942" s="77">
        <v>0</v>
      </c>
      <c r="U942" s="77">
        <v>0</v>
      </c>
      <c r="V942" s="77">
        <v>47</v>
      </c>
      <c r="W942" s="82" t="s">
        <v>2076</v>
      </c>
      <c r="X942" s="80" t="str">
        <f>HYPERLINK("https://www.economiapersonal.com.ar")</f>
        <v>https://www.economiapersonal.com.ar</v>
      </c>
      <c r="Y942" s="77" t="s">
        <v>2177</v>
      </c>
      <c r="Z942" s="77"/>
      <c r="AA942" s="77" t="s">
        <v>2680</v>
      </c>
      <c r="AB942" s="77" t="s">
        <v>2713</v>
      </c>
      <c r="AC942" s="82" t="s">
        <v>2722</v>
      </c>
      <c r="AD942" s="77" t="s">
        <v>2755</v>
      </c>
      <c r="AE942" s="80" t="str">
        <f>HYPERLINK("https://twitter.com/gustavoipadilla/status/1613182966603055104")</f>
        <v>https://twitter.com/gustavoipadilla/status/1613182966603055104</v>
      </c>
      <c r="AF942" s="79">
        <v>44937.608391203707</v>
      </c>
      <c r="AG942" s="85">
        <v>44937</v>
      </c>
      <c r="AH942" s="82" t="s">
        <v>3682</v>
      </c>
      <c r="AI942" s="77" t="b">
        <v>0</v>
      </c>
      <c r="AJ942" s="77"/>
      <c r="AK942" s="77"/>
      <c r="AL942" s="77"/>
      <c r="AM942" s="77"/>
      <c r="AN942" s="77"/>
      <c r="AO942" s="77"/>
      <c r="AP942" s="77"/>
      <c r="AQ942" s="77" t="s">
        <v>4306</v>
      </c>
      <c r="AR942" s="77">
        <v>16040</v>
      </c>
      <c r="AS942" s="77"/>
      <c r="AT942" s="77"/>
      <c r="AU942" s="77"/>
      <c r="AV942" s="80" t="str">
        <f>HYPERLINK("https://pbs.twimg.com/ext_tw_video_thumb/1579567084069130251/pu/img/p_-rNi9HtOrp2902.jpg")</f>
        <v>https://pbs.twimg.com/ext_tw_video_thumb/1579567084069130251/pu/img/p_-rNi9HtOrp2902.jpg</v>
      </c>
      <c r="AW942" s="82" t="s">
        <v>5273</v>
      </c>
      <c r="AX942" s="82" t="s">
        <v>5273</v>
      </c>
      <c r="AY942" s="77"/>
      <c r="AZ942" s="82" t="s">
        <v>5615</v>
      </c>
      <c r="BA942" s="82" t="s">
        <v>5615</v>
      </c>
      <c r="BB942" s="82" t="s">
        <v>5615</v>
      </c>
      <c r="BC942" s="82" t="s">
        <v>5273</v>
      </c>
      <c r="BD942" s="82" t="s">
        <v>6080</v>
      </c>
      <c r="BE942" s="77"/>
      <c r="BF942" s="77"/>
      <c r="BG942" s="77"/>
      <c r="BH942" s="77"/>
      <c r="BI942" s="77"/>
    </row>
    <row r="943" spans="1:61" x14ac:dyDescent="0.25">
      <c r="A943" s="62" t="s">
        <v>542</v>
      </c>
      <c r="B943" s="62" t="s">
        <v>542</v>
      </c>
      <c r="C943" s="63"/>
      <c r="D943" s="64"/>
      <c r="E943" s="65"/>
      <c r="F943" s="66"/>
      <c r="G943" s="63"/>
      <c r="H943" s="67"/>
      <c r="I943" s="68"/>
      <c r="J943" s="68"/>
      <c r="K943" s="32"/>
      <c r="L943" s="75">
        <v>943</v>
      </c>
      <c r="M943" s="75"/>
      <c r="N943" s="70"/>
      <c r="O943" s="77" t="s">
        <v>179</v>
      </c>
      <c r="P943" s="79">
        <v>45046.671840277777</v>
      </c>
      <c r="Q943" s="77" t="s">
        <v>1487</v>
      </c>
      <c r="R943" s="77">
        <v>0</v>
      </c>
      <c r="S943" s="77">
        <v>0</v>
      </c>
      <c r="T943" s="77">
        <v>0</v>
      </c>
      <c r="U943" s="77">
        <v>0</v>
      </c>
      <c r="V943" s="77">
        <v>53</v>
      </c>
      <c r="W943" s="82" t="s">
        <v>1563</v>
      </c>
      <c r="X943" s="80" t="str">
        <f>HYPERLINK("https://www.economiapersonal.com.ar/libertad-financiera")</f>
        <v>https://www.economiapersonal.com.ar/libertad-financiera</v>
      </c>
      <c r="Y943" s="77" t="s">
        <v>2177</v>
      </c>
      <c r="Z943" s="77"/>
      <c r="AA943" s="77" t="s">
        <v>2681</v>
      </c>
      <c r="AB943" s="77" t="s">
        <v>2714</v>
      </c>
      <c r="AC943" s="82" t="s">
        <v>2749</v>
      </c>
      <c r="AD943" s="77" t="s">
        <v>2752</v>
      </c>
      <c r="AE943" s="80" t="str">
        <f>HYPERLINK("https://twitter.com/gustavoipadilla/status/1652706238990364673")</f>
        <v>https://twitter.com/gustavoipadilla/status/1652706238990364673</v>
      </c>
      <c r="AF943" s="79">
        <v>45046.671840277777</v>
      </c>
      <c r="AG943" s="85">
        <v>45046</v>
      </c>
      <c r="AH943" s="82" t="s">
        <v>3683</v>
      </c>
      <c r="AI943" s="77" t="b">
        <v>0</v>
      </c>
      <c r="AJ943" s="77"/>
      <c r="AK943" s="77"/>
      <c r="AL943" s="77"/>
      <c r="AM943" s="77"/>
      <c r="AN943" s="77"/>
      <c r="AO943" s="77"/>
      <c r="AP943" s="77"/>
      <c r="AQ943" s="77" t="s">
        <v>4307</v>
      </c>
      <c r="AR943" s="77"/>
      <c r="AS943" s="77"/>
      <c r="AT943" s="77"/>
      <c r="AU943" s="77"/>
      <c r="AV943" s="80" t="str">
        <f>HYPERLINK("https://pbs.twimg.com/media/FqTyBrtWAAYLHIu.png")</f>
        <v>https://pbs.twimg.com/media/FqTyBrtWAAYLHIu.png</v>
      </c>
      <c r="AW943" s="82" t="s">
        <v>5274</v>
      </c>
      <c r="AX943" s="82" t="s">
        <v>5274</v>
      </c>
      <c r="AY943" s="77"/>
      <c r="AZ943" s="82" t="s">
        <v>5615</v>
      </c>
      <c r="BA943" s="82" t="s">
        <v>5615</v>
      </c>
      <c r="BB943" s="82" t="s">
        <v>5615</v>
      </c>
      <c r="BC943" s="82" t="s">
        <v>5274</v>
      </c>
      <c r="BD943" s="82" t="s">
        <v>6080</v>
      </c>
      <c r="BE943" s="77"/>
      <c r="BF943" s="77"/>
      <c r="BG943" s="77"/>
      <c r="BH943" s="77"/>
      <c r="BI943" s="77"/>
    </row>
    <row r="944" spans="1:61" x14ac:dyDescent="0.25">
      <c r="A944" s="62" t="s">
        <v>542</v>
      </c>
      <c r="B944" s="62" t="s">
        <v>542</v>
      </c>
      <c r="C944" s="63"/>
      <c r="D944" s="64"/>
      <c r="E944" s="65"/>
      <c r="F944" s="66"/>
      <c r="G944" s="63"/>
      <c r="H944" s="67"/>
      <c r="I944" s="68"/>
      <c r="J944" s="68"/>
      <c r="K944" s="32"/>
      <c r="L944" s="75">
        <v>944</v>
      </c>
      <c r="M944" s="75"/>
      <c r="N944" s="70"/>
      <c r="O944" s="77" t="s">
        <v>179</v>
      </c>
      <c r="P944" s="79">
        <v>45041.671284722222</v>
      </c>
      <c r="Q944" s="77" t="s">
        <v>1487</v>
      </c>
      <c r="R944" s="77">
        <v>0</v>
      </c>
      <c r="S944" s="77">
        <v>0</v>
      </c>
      <c r="T944" s="77">
        <v>0</v>
      </c>
      <c r="U944" s="77">
        <v>0</v>
      </c>
      <c r="V944" s="77">
        <v>53</v>
      </c>
      <c r="W944" s="82" t="s">
        <v>1563</v>
      </c>
      <c r="X944" s="80" t="str">
        <f>HYPERLINK("https://www.economiapersonal.com.ar/libertad-financiera")</f>
        <v>https://www.economiapersonal.com.ar/libertad-financiera</v>
      </c>
      <c r="Y944" s="77" t="s">
        <v>2177</v>
      </c>
      <c r="Z944" s="77"/>
      <c r="AA944" s="77" t="s">
        <v>2681</v>
      </c>
      <c r="AB944" s="77" t="s">
        <v>2714</v>
      </c>
      <c r="AC944" s="82" t="s">
        <v>2749</v>
      </c>
      <c r="AD944" s="77" t="s">
        <v>2752</v>
      </c>
      <c r="AE944" s="80" t="str">
        <f>HYPERLINK("https://twitter.com/gustavoipadilla/status/1650894097173950464")</f>
        <v>https://twitter.com/gustavoipadilla/status/1650894097173950464</v>
      </c>
      <c r="AF944" s="79">
        <v>45041.671284722222</v>
      </c>
      <c r="AG944" s="85">
        <v>45041</v>
      </c>
      <c r="AH944" s="82" t="s">
        <v>3684</v>
      </c>
      <c r="AI944" s="77" t="b">
        <v>0</v>
      </c>
      <c r="AJ944" s="77"/>
      <c r="AK944" s="77"/>
      <c r="AL944" s="77"/>
      <c r="AM944" s="77"/>
      <c r="AN944" s="77"/>
      <c r="AO944" s="77"/>
      <c r="AP944" s="77"/>
      <c r="AQ944" s="77" t="s">
        <v>4307</v>
      </c>
      <c r="AR944" s="77"/>
      <c r="AS944" s="77"/>
      <c r="AT944" s="77"/>
      <c r="AU944" s="77"/>
      <c r="AV944" s="80" t="str">
        <f>HYPERLINK("https://pbs.twimg.com/media/FqTyBrtWAAYLHIu.png")</f>
        <v>https://pbs.twimg.com/media/FqTyBrtWAAYLHIu.png</v>
      </c>
      <c r="AW944" s="82" t="s">
        <v>5275</v>
      </c>
      <c r="AX944" s="82" t="s">
        <v>5275</v>
      </c>
      <c r="AY944" s="77"/>
      <c r="AZ944" s="82" t="s">
        <v>5615</v>
      </c>
      <c r="BA944" s="82" t="s">
        <v>5615</v>
      </c>
      <c r="BB944" s="82" t="s">
        <v>5615</v>
      </c>
      <c r="BC944" s="82" t="s">
        <v>5275</v>
      </c>
      <c r="BD944" s="82" t="s">
        <v>6080</v>
      </c>
      <c r="BE944" s="77"/>
      <c r="BF944" s="77"/>
      <c r="BG944" s="77"/>
      <c r="BH944" s="77"/>
      <c r="BI944" s="77"/>
    </row>
    <row r="945" spans="1:61" x14ac:dyDescent="0.25">
      <c r="A945" s="62" t="s">
        <v>542</v>
      </c>
      <c r="B945" s="62" t="s">
        <v>542</v>
      </c>
      <c r="C945" s="63"/>
      <c r="D945" s="64"/>
      <c r="E945" s="65"/>
      <c r="F945" s="66"/>
      <c r="G945" s="63"/>
      <c r="H945" s="67"/>
      <c r="I945" s="68"/>
      <c r="J945" s="68"/>
      <c r="K945" s="32"/>
      <c r="L945" s="75">
        <v>945</v>
      </c>
      <c r="M945" s="75"/>
      <c r="N945" s="70"/>
      <c r="O945" s="77" t="s">
        <v>179</v>
      </c>
      <c r="P945" s="79">
        <v>45002.983634259261</v>
      </c>
      <c r="Q945" s="77" t="s">
        <v>1489</v>
      </c>
      <c r="R945" s="77">
        <v>0</v>
      </c>
      <c r="S945" s="77">
        <v>2</v>
      </c>
      <c r="T945" s="77">
        <v>0</v>
      </c>
      <c r="U945" s="77">
        <v>0</v>
      </c>
      <c r="V945" s="77">
        <v>107</v>
      </c>
      <c r="W945" s="82" t="s">
        <v>1563</v>
      </c>
      <c r="X945" s="80" t="str">
        <f>HYPERLINK("https://www.economiapersonal.com.ar/libertad-financiera")</f>
        <v>https://www.economiapersonal.com.ar/libertad-financiera</v>
      </c>
      <c r="Y945" s="77" t="s">
        <v>2177</v>
      </c>
      <c r="Z945" s="77"/>
      <c r="AA945" s="77" t="s">
        <v>2683</v>
      </c>
      <c r="AB945" s="77" t="s">
        <v>2714</v>
      </c>
      <c r="AC945" s="82" t="s">
        <v>2749</v>
      </c>
      <c r="AD945" s="77" t="s">
        <v>2752</v>
      </c>
      <c r="AE945" s="80" t="str">
        <f>HYPERLINK("https://twitter.com/gustavoipadilla/status/1636874162676416512")</f>
        <v>https://twitter.com/gustavoipadilla/status/1636874162676416512</v>
      </c>
      <c r="AF945" s="79">
        <v>45002.983634259261</v>
      </c>
      <c r="AG945" s="85">
        <v>45002</v>
      </c>
      <c r="AH945" s="82" t="s">
        <v>3685</v>
      </c>
      <c r="AI945" s="77" t="b">
        <v>0</v>
      </c>
      <c r="AJ945" s="77"/>
      <c r="AK945" s="77"/>
      <c r="AL945" s="77"/>
      <c r="AM945" s="77"/>
      <c r="AN945" s="77"/>
      <c r="AO945" s="77"/>
      <c r="AP945" s="77"/>
      <c r="AQ945" s="77" t="s">
        <v>4309</v>
      </c>
      <c r="AR945" s="77"/>
      <c r="AS945" s="77"/>
      <c r="AT945" s="77"/>
      <c r="AU945" s="77"/>
      <c r="AV945" s="80" t="str">
        <f>HYPERLINK("https://pbs.twimg.com/media/E24II5NXEAQ7i12.jpg")</f>
        <v>https://pbs.twimg.com/media/E24II5NXEAQ7i12.jpg</v>
      </c>
      <c r="AW945" s="82" t="s">
        <v>5276</v>
      </c>
      <c r="AX945" s="82" t="s">
        <v>5276</v>
      </c>
      <c r="AY945" s="77"/>
      <c r="AZ945" s="82" t="s">
        <v>5615</v>
      </c>
      <c r="BA945" s="82" t="s">
        <v>5615</v>
      </c>
      <c r="BB945" s="82" t="s">
        <v>5615</v>
      </c>
      <c r="BC945" s="82" t="s">
        <v>5276</v>
      </c>
      <c r="BD945" s="82" t="s">
        <v>6080</v>
      </c>
      <c r="BE945" s="77"/>
      <c r="BF945" s="77"/>
      <c r="BG945" s="77"/>
      <c r="BH945" s="77"/>
      <c r="BI945" s="77"/>
    </row>
    <row r="946" spans="1:61" x14ac:dyDescent="0.25">
      <c r="A946" s="62" t="s">
        <v>542</v>
      </c>
      <c r="B946" s="62" t="s">
        <v>542</v>
      </c>
      <c r="C946" s="63"/>
      <c r="D946" s="64"/>
      <c r="E946" s="65"/>
      <c r="F946" s="66"/>
      <c r="G946" s="63"/>
      <c r="H946" s="67"/>
      <c r="I946" s="68"/>
      <c r="J946" s="68"/>
      <c r="K946" s="32"/>
      <c r="L946" s="75">
        <v>946</v>
      </c>
      <c r="M946" s="75"/>
      <c r="N946" s="70"/>
      <c r="O946" s="77" t="s">
        <v>179</v>
      </c>
      <c r="P946" s="79">
        <v>45145.53633101852</v>
      </c>
      <c r="Q946" s="77" t="s">
        <v>1490</v>
      </c>
      <c r="R946" s="77">
        <v>0</v>
      </c>
      <c r="S946" s="77">
        <v>0</v>
      </c>
      <c r="T946" s="77">
        <v>0</v>
      </c>
      <c r="U946" s="77">
        <v>0</v>
      </c>
      <c r="V946" s="77">
        <v>39</v>
      </c>
      <c r="W946" s="82" t="s">
        <v>1563</v>
      </c>
      <c r="X946" s="80" t="str">
        <f>HYPERLINK("https://www.economiapersonal.com.ar/libertad-financiera/")</f>
        <v>https://www.economiapersonal.com.ar/libertad-financiera/</v>
      </c>
      <c r="Y946" s="77" t="s">
        <v>2177</v>
      </c>
      <c r="Z946" s="77"/>
      <c r="AA946" s="77" t="s">
        <v>2684</v>
      </c>
      <c r="AB946" s="77" t="s">
        <v>2714</v>
      </c>
      <c r="AC946" s="82" t="s">
        <v>2750</v>
      </c>
      <c r="AD946" s="77" t="s">
        <v>2752</v>
      </c>
      <c r="AE946" s="80" t="str">
        <f>HYPERLINK("https://twitter.com/gustavoipadilla/status/1688533531352244226")</f>
        <v>https://twitter.com/gustavoipadilla/status/1688533531352244226</v>
      </c>
      <c r="AF946" s="79">
        <v>45145.53633101852</v>
      </c>
      <c r="AG946" s="85">
        <v>45145</v>
      </c>
      <c r="AH946" s="82" t="s">
        <v>3686</v>
      </c>
      <c r="AI946" s="77" t="b">
        <v>0</v>
      </c>
      <c r="AJ946" s="77"/>
      <c r="AK946" s="77"/>
      <c r="AL946" s="77"/>
      <c r="AM946" s="77"/>
      <c r="AN946" s="77"/>
      <c r="AO946" s="77"/>
      <c r="AP946" s="77"/>
      <c r="AQ946" s="77" t="s">
        <v>4310</v>
      </c>
      <c r="AR946" s="77"/>
      <c r="AS946" s="77"/>
      <c r="AT946" s="77"/>
      <c r="AU946" s="77"/>
      <c r="AV946" s="80" t="str">
        <f>HYPERLINK("https://pbs.twimg.com/media/E8D2JqZXMAc3fSM.png")</f>
        <v>https://pbs.twimg.com/media/E8D2JqZXMAc3fSM.png</v>
      </c>
      <c r="AW946" s="82" t="s">
        <v>5277</v>
      </c>
      <c r="AX946" s="82" t="s">
        <v>5277</v>
      </c>
      <c r="AY946" s="77"/>
      <c r="AZ946" s="82" t="s">
        <v>5615</v>
      </c>
      <c r="BA946" s="82" t="s">
        <v>5615</v>
      </c>
      <c r="BB946" s="82" t="s">
        <v>5615</v>
      </c>
      <c r="BC946" s="82" t="s">
        <v>5277</v>
      </c>
      <c r="BD946" s="82" t="s">
        <v>6080</v>
      </c>
      <c r="BE946" s="77"/>
      <c r="BF946" s="77"/>
      <c r="BG946" s="77"/>
      <c r="BH946" s="77"/>
      <c r="BI946" s="77"/>
    </row>
    <row r="947" spans="1:61" x14ac:dyDescent="0.25">
      <c r="A947" s="62" t="s">
        <v>542</v>
      </c>
      <c r="B947" s="62" t="s">
        <v>542</v>
      </c>
      <c r="C947" s="63"/>
      <c r="D947" s="64"/>
      <c r="E947" s="65"/>
      <c r="F947" s="66"/>
      <c r="G947" s="63"/>
      <c r="H947" s="67"/>
      <c r="I947" s="68"/>
      <c r="J947" s="68"/>
      <c r="K947" s="32"/>
      <c r="L947" s="75">
        <v>947</v>
      </c>
      <c r="M947" s="75"/>
      <c r="N947" s="70"/>
      <c r="O947" s="77" t="s">
        <v>179</v>
      </c>
      <c r="P947" s="79">
        <v>44945.669270833336</v>
      </c>
      <c r="Q947" s="77" t="s">
        <v>1491</v>
      </c>
      <c r="R947" s="77">
        <v>0</v>
      </c>
      <c r="S947" s="77">
        <v>0</v>
      </c>
      <c r="T947" s="77">
        <v>0</v>
      </c>
      <c r="U947" s="77">
        <v>0</v>
      </c>
      <c r="V947" s="77">
        <v>37</v>
      </c>
      <c r="W947" s="82" t="s">
        <v>2076</v>
      </c>
      <c r="X947" s="80" t="str">
        <f>HYPERLINK("https://www.economiapersonal.com.ar")</f>
        <v>https://www.economiapersonal.com.ar</v>
      </c>
      <c r="Y947" s="77" t="s">
        <v>2177</v>
      </c>
      <c r="Z947" s="77"/>
      <c r="AA947" s="77" t="s">
        <v>2680</v>
      </c>
      <c r="AB947" s="77" t="s">
        <v>2713</v>
      </c>
      <c r="AC947" s="82" t="s">
        <v>2722</v>
      </c>
      <c r="AD947" s="77" t="s">
        <v>2751</v>
      </c>
      <c r="AE947" s="80" t="str">
        <f>HYPERLINK("https://twitter.com/gustavoipadilla/status/1616104131466301442")</f>
        <v>https://twitter.com/gustavoipadilla/status/1616104131466301442</v>
      </c>
      <c r="AF947" s="79">
        <v>44945.669270833336</v>
      </c>
      <c r="AG947" s="85">
        <v>44945</v>
      </c>
      <c r="AH947" s="82" t="s">
        <v>3687</v>
      </c>
      <c r="AI947" s="77" t="b">
        <v>0</v>
      </c>
      <c r="AJ947" s="77"/>
      <c r="AK947" s="77"/>
      <c r="AL947" s="77"/>
      <c r="AM947" s="77"/>
      <c r="AN947" s="77"/>
      <c r="AO947" s="77"/>
      <c r="AP947" s="77"/>
      <c r="AQ947" s="77" t="s">
        <v>4306</v>
      </c>
      <c r="AR947" s="77">
        <v>16040</v>
      </c>
      <c r="AS947" s="77"/>
      <c r="AT947" s="77"/>
      <c r="AU947" s="77"/>
      <c r="AV947" s="80" t="str">
        <f>HYPERLINK("https://pbs.twimg.com/ext_tw_video_thumb/1579567084069130251/pu/img/p_-rNi9HtOrp2902.jpg")</f>
        <v>https://pbs.twimg.com/ext_tw_video_thumb/1579567084069130251/pu/img/p_-rNi9HtOrp2902.jpg</v>
      </c>
      <c r="AW947" s="82" t="s">
        <v>5278</v>
      </c>
      <c r="AX947" s="82" t="s">
        <v>5278</v>
      </c>
      <c r="AY947" s="77"/>
      <c r="AZ947" s="82" t="s">
        <v>5615</v>
      </c>
      <c r="BA947" s="82" t="s">
        <v>5615</v>
      </c>
      <c r="BB947" s="82" t="s">
        <v>5615</v>
      </c>
      <c r="BC947" s="82" t="s">
        <v>5278</v>
      </c>
      <c r="BD947" s="82" t="s">
        <v>6080</v>
      </c>
      <c r="BE947" s="77"/>
      <c r="BF947" s="77"/>
      <c r="BG947" s="77"/>
      <c r="BH947" s="77"/>
      <c r="BI947" s="77"/>
    </row>
    <row r="948" spans="1:61" x14ac:dyDescent="0.25">
      <c r="A948" s="62" t="s">
        <v>543</v>
      </c>
      <c r="B948" s="62" t="s">
        <v>543</v>
      </c>
      <c r="C948" s="63"/>
      <c r="D948" s="64"/>
      <c r="E948" s="65"/>
      <c r="F948" s="66"/>
      <c r="G948" s="63"/>
      <c r="H948" s="67"/>
      <c r="I948" s="68"/>
      <c r="J948" s="68"/>
      <c r="K948" s="32"/>
      <c r="L948" s="75">
        <v>948</v>
      </c>
      <c r="M948" s="75"/>
      <c r="N948" s="70"/>
      <c r="O948" s="77" t="s">
        <v>179</v>
      </c>
      <c r="P948" s="79">
        <v>44947.715462962966</v>
      </c>
      <c r="Q948" s="77" t="s">
        <v>1492</v>
      </c>
      <c r="R948" s="77">
        <v>0</v>
      </c>
      <c r="S948" s="77">
        <v>0</v>
      </c>
      <c r="T948" s="77">
        <v>0</v>
      </c>
      <c r="U948" s="77">
        <v>0</v>
      </c>
      <c r="V948" s="77">
        <v>17</v>
      </c>
      <c r="W948" s="82" t="s">
        <v>2077</v>
      </c>
      <c r="X948" s="77"/>
      <c r="Y948" s="77"/>
      <c r="Z948" s="77"/>
      <c r="AA948" s="77"/>
      <c r="AB948" s="77"/>
      <c r="AC948" s="82" t="s">
        <v>2719</v>
      </c>
      <c r="AD948" s="77" t="s">
        <v>2752</v>
      </c>
      <c r="AE948" s="80" t="str">
        <f>HYPERLINK("https://twitter.com/carlosraldi/status/1616845648799879168")</f>
        <v>https://twitter.com/carlosraldi/status/1616845648799879168</v>
      </c>
      <c r="AF948" s="79">
        <v>44947.715462962966</v>
      </c>
      <c r="AG948" s="85">
        <v>44947</v>
      </c>
      <c r="AH948" s="82" t="s">
        <v>3688</v>
      </c>
      <c r="AI948" s="77"/>
      <c r="AJ948" s="77"/>
      <c r="AK948" s="77"/>
      <c r="AL948" s="77"/>
      <c r="AM948" s="77"/>
      <c r="AN948" s="77"/>
      <c r="AO948" s="77"/>
      <c r="AP948" s="77"/>
      <c r="AQ948" s="77"/>
      <c r="AR948" s="77"/>
      <c r="AS948" s="77"/>
      <c r="AT948" s="77"/>
      <c r="AU948" s="77"/>
      <c r="AV948" s="80" t="str">
        <f>HYPERLINK("https://pbs.twimg.com/profile_images/1557115329800798209/Fr2-6cQt_normal.jpg")</f>
        <v>https://pbs.twimg.com/profile_images/1557115329800798209/Fr2-6cQt_normal.jpg</v>
      </c>
      <c r="AW948" s="82" t="s">
        <v>5279</v>
      </c>
      <c r="AX948" s="82" t="s">
        <v>5279</v>
      </c>
      <c r="AY948" s="77"/>
      <c r="AZ948" s="82" t="s">
        <v>5615</v>
      </c>
      <c r="BA948" s="82" t="s">
        <v>5615</v>
      </c>
      <c r="BB948" s="82" t="s">
        <v>5615</v>
      </c>
      <c r="BC948" s="82" t="s">
        <v>5279</v>
      </c>
      <c r="BD948" s="82" t="s">
        <v>6081</v>
      </c>
      <c r="BE948" s="77"/>
      <c r="BF948" s="77"/>
      <c r="BG948" s="77"/>
      <c r="BH948" s="77"/>
      <c r="BI948" s="77"/>
    </row>
    <row r="949" spans="1:61" x14ac:dyDescent="0.25">
      <c r="A949" s="62" t="s">
        <v>544</v>
      </c>
      <c r="B949" s="62" t="s">
        <v>544</v>
      </c>
      <c r="C949" s="63"/>
      <c r="D949" s="64"/>
      <c r="E949" s="65"/>
      <c r="F949" s="66"/>
      <c r="G949" s="63"/>
      <c r="H949" s="67"/>
      <c r="I949" s="68"/>
      <c r="J949" s="68"/>
      <c r="K949" s="32"/>
      <c r="L949" s="75">
        <v>949</v>
      </c>
      <c r="M949" s="75"/>
      <c r="N949" s="70"/>
      <c r="O949" s="77" t="s">
        <v>179</v>
      </c>
      <c r="P949" s="79">
        <v>44993.40625</v>
      </c>
      <c r="Q949" s="77" t="s">
        <v>1493</v>
      </c>
      <c r="R949" s="77">
        <v>0</v>
      </c>
      <c r="S949" s="77">
        <v>3</v>
      </c>
      <c r="T949" s="77">
        <v>0</v>
      </c>
      <c r="U949" s="77">
        <v>0</v>
      </c>
      <c r="V949" s="77">
        <v>22</v>
      </c>
      <c r="W949" s="82" t="s">
        <v>2078</v>
      </c>
      <c r="X949" s="77"/>
      <c r="Y949" s="77"/>
      <c r="Z949" s="77"/>
      <c r="AA949" s="77" t="s">
        <v>2685</v>
      </c>
      <c r="AB949" s="77" t="s">
        <v>2714</v>
      </c>
      <c r="AC949" s="82" t="s">
        <v>2722</v>
      </c>
      <c r="AD949" s="77" t="s">
        <v>2752</v>
      </c>
      <c r="AE949" s="80" t="str">
        <f>HYPERLINK("https://twitter.com/evoyconsorcios/status/1633403433129590785")</f>
        <v>https://twitter.com/evoyconsorcios/status/1633403433129590785</v>
      </c>
      <c r="AF949" s="79">
        <v>44993.40625</v>
      </c>
      <c r="AG949" s="85">
        <v>44993</v>
      </c>
      <c r="AH949" s="82" t="s">
        <v>3689</v>
      </c>
      <c r="AI949" s="77" t="b">
        <v>0</v>
      </c>
      <c r="AJ949" s="77"/>
      <c r="AK949" s="77"/>
      <c r="AL949" s="77"/>
      <c r="AM949" s="77"/>
      <c r="AN949" s="77"/>
      <c r="AO949" s="77"/>
      <c r="AP949" s="77"/>
      <c r="AQ949" s="77" t="s">
        <v>4311</v>
      </c>
      <c r="AR949" s="77"/>
      <c r="AS949" s="77"/>
      <c r="AT949" s="77"/>
      <c r="AU949" s="77"/>
      <c r="AV949" s="80" t="str">
        <f>HYPERLINK("https://pbs.twimg.com/media/FqpStVEWcAIMno0.jpg")</f>
        <v>https://pbs.twimg.com/media/FqpStVEWcAIMno0.jpg</v>
      </c>
      <c r="AW949" s="82" t="s">
        <v>5280</v>
      </c>
      <c r="AX949" s="82" t="s">
        <v>5280</v>
      </c>
      <c r="AY949" s="77"/>
      <c r="AZ949" s="82" t="s">
        <v>5615</v>
      </c>
      <c r="BA949" s="82" t="s">
        <v>5615</v>
      </c>
      <c r="BB949" s="82" t="s">
        <v>5615</v>
      </c>
      <c r="BC949" s="82" t="s">
        <v>5280</v>
      </c>
      <c r="BD949" s="82" t="s">
        <v>6082</v>
      </c>
      <c r="BE949" s="77"/>
      <c r="BF949" s="77"/>
      <c r="BG949" s="77"/>
      <c r="BH949" s="77"/>
      <c r="BI949" s="77"/>
    </row>
    <row r="950" spans="1:61" x14ac:dyDescent="0.25">
      <c r="A950" s="62" t="s">
        <v>544</v>
      </c>
      <c r="B950" s="62" t="s">
        <v>544</v>
      </c>
      <c r="C950" s="63"/>
      <c r="D950" s="64"/>
      <c r="E950" s="65"/>
      <c r="F950" s="66"/>
      <c r="G950" s="63"/>
      <c r="H950" s="67"/>
      <c r="I950" s="68"/>
      <c r="J950" s="68"/>
      <c r="K950" s="32"/>
      <c r="L950" s="75">
        <v>950</v>
      </c>
      <c r="M950" s="75"/>
      <c r="N950" s="70"/>
      <c r="O950" s="77" t="s">
        <v>179</v>
      </c>
      <c r="P950" s="79">
        <v>44965.554270833331</v>
      </c>
      <c r="Q950" s="77" t="s">
        <v>1494</v>
      </c>
      <c r="R950" s="77">
        <v>0</v>
      </c>
      <c r="S950" s="77">
        <v>3</v>
      </c>
      <c r="T950" s="77">
        <v>0</v>
      </c>
      <c r="U950" s="77">
        <v>0</v>
      </c>
      <c r="V950" s="77">
        <v>42</v>
      </c>
      <c r="W950" s="82" t="s">
        <v>2079</v>
      </c>
      <c r="X950" s="77"/>
      <c r="Y950" s="77"/>
      <c r="Z950" s="77"/>
      <c r="AA950" s="77" t="s">
        <v>2686</v>
      </c>
      <c r="AB950" s="77" t="s">
        <v>2714</v>
      </c>
      <c r="AC950" s="82" t="s">
        <v>2722</v>
      </c>
      <c r="AD950" s="77" t="s">
        <v>2752</v>
      </c>
      <c r="AE950" s="80" t="str">
        <f>HYPERLINK("https://twitter.com/evoyconsorcios/status/1623310215805386757")</f>
        <v>https://twitter.com/evoyconsorcios/status/1623310215805386757</v>
      </c>
      <c r="AF950" s="79">
        <v>44965.554270833331</v>
      </c>
      <c r="AG950" s="85">
        <v>44965</v>
      </c>
      <c r="AH950" s="82" t="s">
        <v>3690</v>
      </c>
      <c r="AI950" s="77" t="b">
        <v>0</v>
      </c>
      <c r="AJ950" s="77"/>
      <c r="AK950" s="77"/>
      <c r="AL950" s="77"/>
      <c r="AM950" s="77"/>
      <c r="AN950" s="77"/>
      <c r="AO950" s="77"/>
      <c r="AP950" s="77"/>
      <c r="AQ950" s="77" t="s">
        <v>4312</v>
      </c>
      <c r="AR950" s="77"/>
      <c r="AS950" s="77"/>
      <c r="AT950" s="77"/>
      <c r="AU950" s="77"/>
      <c r="AV950" s="80" t="str">
        <f>HYPERLINK("https://pbs.twimg.com/media/FocoCW4WcAEftxQ.jpg")</f>
        <v>https://pbs.twimg.com/media/FocoCW4WcAEftxQ.jpg</v>
      </c>
      <c r="AW950" s="82" t="s">
        <v>5281</v>
      </c>
      <c r="AX950" s="82" t="s">
        <v>5281</v>
      </c>
      <c r="AY950" s="77"/>
      <c r="AZ950" s="82" t="s">
        <v>5615</v>
      </c>
      <c r="BA950" s="82" t="s">
        <v>5615</v>
      </c>
      <c r="BB950" s="82" t="s">
        <v>5615</v>
      </c>
      <c r="BC950" s="82" t="s">
        <v>5281</v>
      </c>
      <c r="BD950" s="82" t="s">
        <v>6082</v>
      </c>
      <c r="BE950" s="77"/>
      <c r="BF950" s="77"/>
      <c r="BG950" s="77"/>
      <c r="BH950" s="77"/>
      <c r="BI950" s="77"/>
    </row>
    <row r="951" spans="1:61" x14ac:dyDescent="0.25">
      <c r="A951" s="62" t="s">
        <v>545</v>
      </c>
      <c r="B951" s="62" t="s">
        <v>545</v>
      </c>
      <c r="C951" s="63"/>
      <c r="D951" s="64"/>
      <c r="E951" s="65"/>
      <c r="F951" s="66"/>
      <c r="G951" s="63"/>
      <c r="H951" s="67"/>
      <c r="I951" s="68"/>
      <c r="J951" s="68"/>
      <c r="K951" s="32"/>
      <c r="L951" s="75">
        <v>951</v>
      </c>
      <c r="M951" s="75"/>
      <c r="N951" s="70"/>
      <c r="O951" s="77" t="s">
        <v>179</v>
      </c>
      <c r="P951" s="79">
        <v>45179.951319444444</v>
      </c>
      <c r="Q951" s="77" t="s">
        <v>1495</v>
      </c>
      <c r="R951" s="77">
        <v>0</v>
      </c>
      <c r="S951" s="77">
        <v>0</v>
      </c>
      <c r="T951" s="77">
        <v>0</v>
      </c>
      <c r="U951" s="77">
        <v>0</v>
      </c>
      <c r="V951" s="77">
        <v>6</v>
      </c>
      <c r="W951" s="82" t="s">
        <v>1726</v>
      </c>
      <c r="X951" s="80" t="str">
        <f>HYPERLINK("https://bit.ly/48bfU20")</f>
        <v>https://bit.ly/48bfU20</v>
      </c>
      <c r="Y951" s="77" t="s">
        <v>2132</v>
      </c>
      <c r="Z951" s="77"/>
      <c r="AA951" s="77" t="s">
        <v>2687</v>
      </c>
      <c r="AB951" s="77" t="s">
        <v>2714</v>
      </c>
      <c r="AC951" s="82" t="s">
        <v>2719</v>
      </c>
      <c r="AD951" s="77" t="s">
        <v>2752</v>
      </c>
      <c r="AE951" s="80" t="str">
        <f>HYPERLINK("https://twitter.com/achadinhosdaall/status/1701005103170453602")</f>
        <v>https://twitter.com/achadinhosdaall/status/1701005103170453602</v>
      </c>
      <c r="AF951" s="79">
        <v>45179.951319444444</v>
      </c>
      <c r="AG951" s="85">
        <v>45179</v>
      </c>
      <c r="AH951" s="82" t="s">
        <v>3691</v>
      </c>
      <c r="AI951" s="77" t="b">
        <v>0</v>
      </c>
      <c r="AJ951" s="77"/>
      <c r="AK951" s="77"/>
      <c r="AL951" s="77"/>
      <c r="AM951" s="77"/>
      <c r="AN951" s="77"/>
      <c r="AO951" s="77"/>
      <c r="AP951" s="77"/>
      <c r="AQ951" s="77" t="s">
        <v>4313</v>
      </c>
      <c r="AR951" s="77"/>
      <c r="AS951" s="77"/>
      <c r="AT951" s="77"/>
      <c r="AU951" s="77"/>
      <c r="AV951" s="80" t="str">
        <f>HYPERLINK("https://pbs.twimg.com/media/F5svIHTb0AAhr1l.jpg")</f>
        <v>https://pbs.twimg.com/media/F5svIHTb0AAhr1l.jpg</v>
      </c>
      <c r="AW951" s="82" t="s">
        <v>5282</v>
      </c>
      <c r="AX951" s="82" t="s">
        <v>5282</v>
      </c>
      <c r="AY951" s="77"/>
      <c r="AZ951" s="82" t="s">
        <v>5615</v>
      </c>
      <c r="BA951" s="82" t="s">
        <v>5615</v>
      </c>
      <c r="BB951" s="82" t="s">
        <v>5615</v>
      </c>
      <c r="BC951" s="82" t="s">
        <v>5282</v>
      </c>
      <c r="BD951" s="82" t="s">
        <v>6083</v>
      </c>
      <c r="BE951" s="77"/>
      <c r="BF951" s="77"/>
      <c r="BG951" s="77"/>
      <c r="BH951" s="77"/>
      <c r="BI951" s="77"/>
    </row>
    <row r="952" spans="1:61" x14ac:dyDescent="0.25">
      <c r="A952" s="62" t="s">
        <v>546</v>
      </c>
      <c r="B952" s="62" t="s">
        <v>546</v>
      </c>
      <c r="C952" s="63"/>
      <c r="D952" s="64"/>
      <c r="E952" s="65"/>
      <c r="F952" s="66"/>
      <c r="G952" s="63"/>
      <c r="H952" s="67"/>
      <c r="I952" s="68"/>
      <c r="J952" s="68"/>
      <c r="K952" s="32"/>
      <c r="L952" s="75">
        <v>952</v>
      </c>
      <c r="M952" s="75"/>
      <c r="N952" s="70"/>
      <c r="O952" s="77" t="s">
        <v>583</v>
      </c>
      <c r="P952" s="79">
        <v>45163.444872685184</v>
      </c>
      <c r="Q952" s="77" t="s">
        <v>1496</v>
      </c>
      <c r="R952" s="77">
        <v>0</v>
      </c>
      <c r="S952" s="77">
        <v>0</v>
      </c>
      <c r="T952" s="77">
        <v>0</v>
      </c>
      <c r="U952" s="77">
        <v>0</v>
      </c>
      <c r="V952" s="77">
        <v>9</v>
      </c>
      <c r="W952" s="82" t="s">
        <v>2080</v>
      </c>
      <c r="X952" s="77"/>
      <c r="Y952" s="77"/>
      <c r="Z952" s="77"/>
      <c r="AA952" s="77"/>
      <c r="AB952" s="77"/>
      <c r="AC952" s="82" t="s">
        <v>2722</v>
      </c>
      <c r="AD952" s="77" t="s">
        <v>2756</v>
      </c>
      <c r="AE952" s="80" t="str">
        <f>HYPERLINK("https://twitter.com/bynessantos/status/1695023367022055887")</f>
        <v>https://twitter.com/bynessantos/status/1695023367022055887</v>
      </c>
      <c r="AF952" s="79">
        <v>45163.444872685184</v>
      </c>
      <c r="AG952" s="85">
        <v>45163</v>
      </c>
      <c r="AH952" s="82" t="s">
        <v>3692</v>
      </c>
      <c r="AI952" s="77"/>
      <c r="AJ952" s="77"/>
      <c r="AK952" s="77"/>
      <c r="AL952" s="77"/>
      <c r="AM952" s="77"/>
      <c r="AN952" s="77"/>
      <c r="AO952" s="77"/>
      <c r="AP952" s="77"/>
      <c r="AQ952" s="77"/>
      <c r="AR952" s="77"/>
      <c r="AS952" s="77"/>
      <c r="AT952" s="77"/>
      <c r="AU952" s="77"/>
      <c r="AV952" s="80" t="str">
        <f>HYPERLINK("https://pbs.twimg.com/profile_images/1686339808979795968/X4qgjWHf_normal.jpg")</f>
        <v>https://pbs.twimg.com/profile_images/1686339808979795968/X4qgjWHf_normal.jpg</v>
      </c>
      <c r="AW952" s="82" t="s">
        <v>5283</v>
      </c>
      <c r="AX952" s="82" t="s">
        <v>5560</v>
      </c>
      <c r="AY952" s="82" t="s">
        <v>5612</v>
      </c>
      <c r="AZ952" s="82" t="s">
        <v>5560</v>
      </c>
      <c r="BA952" s="82" t="s">
        <v>5615</v>
      </c>
      <c r="BB952" s="82" t="s">
        <v>5615</v>
      </c>
      <c r="BC952" s="82" t="s">
        <v>5560</v>
      </c>
      <c r="BD952" s="82" t="s">
        <v>5612</v>
      </c>
      <c r="BE952" s="77"/>
      <c r="BF952" s="77"/>
      <c r="BG952" s="77"/>
      <c r="BH952" s="77"/>
      <c r="BI952" s="77"/>
    </row>
    <row r="953" spans="1:61" x14ac:dyDescent="0.25">
      <c r="A953" s="62" t="s">
        <v>547</v>
      </c>
      <c r="B953" s="62" t="s">
        <v>547</v>
      </c>
      <c r="C953" s="63"/>
      <c r="D953" s="64"/>
      <c r="E953" s="65"/>
      <c r="F953" s="66"/>
      <c r="G953" s="63"/>
      <c r="H953" s="67"/>
      <c r="I953" s="68"/>
      <c r="J953" s="68"/>
      <c r="K953" s="32"/>
      <c r="L953" s="75">
        <v>953</v>
      </c>
      <c r="M953" s="75"/>
      <c r="N953" s="70"/>
      <c r="O953" s="77" t="s">
        <v>179</v>
      </c>
      <c r="P953" s="79">
        <v>45033.498090277775</v>
      </c>
      <c r="Q953" s="77" t="s">
        <v>1497</v>
      </c>
      <c r="R953" s="77">
        <v>1</v>
      </c>
      <c r="S953" s="77">
        <v>2</v>
      </c>
      <c r="T953" s="77">
        <v>0</v>
      </c>
      <c r="U953" s="77">
        <v>0</v>
      </c>
      <c r="V953" s="77">
        <v>124</v>
      </c>
      <c r="W953" s="82" t="s">
        <v>2081</v>
      </c>
      <c r="X953" s="77"/>
      <c r="Y953" s="77"/>
      <c r="Z953" s="77"/>
      <c r="AA953" s="77"/>
      <c r="AB953" s="77"/>
      <c r="AC953" s="82" t="s">
        <v>2722</v>
      </c>
      <c r="AD953" s="77" t="s">
        <v>2752</v>
      </c>
      <c r="AE953" s="80" t="str">
        <f>HYPERLINK("https://twitter.com/afonteuniversal/status/1647932232282112001")</f>
        <v>https://twitter.com/afonteuniversal/status/1647932232282112001</v>
      </c>
      <c r="AF953" s="79">
        <v>45033.498090277775</v>
      </c>
      <c r="AG953" s="85">
        <v>45033</v>
      </c>
      <c r="AH953" s="82" t="s">
        <v>3693</v>
      </c>
      <c r="AI953" s="77"/>
      <c r="AJ953" s="77"/>
      <c r="AK953" s="77"/>
      <c r="AL953" s="77"/>
      <c r="AM953" s="77"/>
      <c r="AN953" s="77"/>
      <c r="AO953" s="77"/>
      <c r="AP953" s="77"/>
      <c r="AQ953" s="77"/>
      <c r="AR953" s="77"/>
      <c r="AS953" s="77"/>
      <c r="AT953" s="77"/>
      <c r="AU953" s="77"/>
      <c r="AV953" s="80" t="str">
        <f>HYPERLINK("https://pbs.twimg.com/profile_images/1622351174132240384/Fr6eh-0Y_normal.jpg")</f>
        <v>https://pbs.twimg.com/profile_images/1622351174132240384/Fr6eh-0Y_normal.jpg</v>
      </c>
      <c r="AW953" s="82" t="s">
        <v>5284</v>
      </c>
      <c r="AX953" s="82" t="s">
        <v>5284</v>
      </c>
      <c r="AY953" s="77"/>
      <c r="AZ953" s="82" t="s">
        <v>5615</v>
      </c>
      <c r="BA953" s="82" t="s">
        <v>5615</v>
      </c>
      <c r="BB953" s="82" t="s">
        <v>5615</v>
      </c>
      <c r="BC953" s="82" t="s">
        <v>5284</v>
      </c>
      <c r="BD953" s="82" t="s">
        <v>6084</v>
      </c>
      <c r="BE953" s="77"/>
      <c r="BF953" s="77"/>
      <c r="BG953" s="77"/>
      <c r="BH953" s="77"/>
      <c r="BI953" s="77"/>
    </row>
    <row r="954" spans="1:61" x14ac:dyDescent="0.25">
      <c r="A954" s="62" t="s">
        <v>548</v>
      </c>
      <c r="B954" s="62" t="s">
        <v>548</v>
      </c>
      <c r="C954" s="63"/>
      <c r="D954" s="64"/>
      <c r="E954" s="65"/>
      <c r="F954" s="66"/>
      <c r="G954" s="63"/>
      <c r="H954" s="67"/>
      <c r="I954" s="68"/>
      <c r="J954" s="68"/>
      <c r="K954" s="32"/>
      <c r="L954" s="75">
        <v>954</v>
      </c>
      <c r="M954" s="75"/>
      <c r="N954" s="70"/>
      <c r="O954" s="77" t="s">
        <v>179</v>
      </c>
      <c r="P954" s="79">
        <v>45146.997199074074</v>
      </c>
      <c r="Q954" s="77" t="s">
        <v>1498</v>
      </c>
      <c r="R954" s="77">
        <v>0</v>
      </c>
      <c r="S954" s="77">
        <v>0</v>
      </c>
      <c r="T954" s="77">
        <v>0</v>
      </c>
      <c r="U954" s="77">
        <v>0</v>
      </c>
      <c r="V954" s="77">
        <v>54</v>
      </c>
      <c r="W954" s="82" t="s">
        <v>2082</v>
      </c>
      <c r="X954" s="77"/>
      <c r="Y954" s="77"/>
      <c r="Z954" s="77"/>
      <c r="AA954" s="77" t="s">
        <v>2688</v>
      </c>
      <c r="AB954" s="77" t="s">
        <v>2716</v>
      </c>
      <c r="AC954" s="82" t="s">
        <v>2722</v>
      </c>
      <c r="AD954" s="77" t="s">
        <v>2752</v>
      </c>
      <c r="AE954" s="80" t="str">
        <f>HYPERLINK("https://twitter.com/duduhrosa13/status/1689062928375250945")</f>
        <v>https://twitter.com/duduhrosa13/status/1689062928375250945</v>
      </c>
      <c r="AF954" s="79">
        <v>45146.997199074074</v>
      </c>
      <c r="AG954" s="85">
        <v>45146</v>
      </c>
      <c r="AH954" s="82" t="s">
        <v>3694</v>
      </c>
      <c r="AI954" s="77" t="b">
        <v>0</v>
      </c>
      <c r="AJ954" s="77"/>
      <c r="AK954" s="77"/>
      <c r="AL954" s="77"/>
      <c r="AM954" s="77"/>
      <c r="AN954" s="77"/>
      <c r="AO954" s="77"/>
      <c r="AP954" s="77"/>
      <c r="AQ954" s="77" t="s">
        <v>4314</v>
      </c>
      <c r="AR954" s="77"/>
      <c r="AS954" s="77"/>
      <c r="AT954" s="77"/>
      <c r="AU954" s="77"/>
      <c r="AV954" s="80" t="str">
        <f>HYPERLINK("https://pbs.twimg.com/media/F3DBrF_X0AAeuHJ.png")</f>
        <v>https://pbs.twimg.com/media/F3DBrF_X0AAeuHJ.png</v>
      </c>
      <c r="AW954" s="82" t="s">
        <v>5285</v>
      </c>
      <c r="AX954" s="82" t="s">
        <v>5285</v>
      </c>
      <c r="AY954" s="77"/>
      <c r="AZ954" s="82" t="s">
        <v>5615</v>
      </c>
      <c r="BA954" s="82" t="s">
        <v>5615</v>
      </c>
      <c r="BB954" s="82" t="s">
        <v>5615</v>
      </c>
      <c r="BC954" s="82" t="s">
        <v>5285</v>
      </c>
      <c r="BD954" s="77">
        <v>244707852</v>
      </c>
      <c r="BE954" s="77"/>
      <c r="BF954" s="77"/>
      <c r="BG954" s="77"/>
      <c r="BH954" s="77"/>
      <c r="BI954" s="77"/>
    </row>
    <row r="955" spans="1:61" x14ac:dyDescent="0.25">
      <c r="A955" s="62" t="s">
        <v>549</v>
      </c>
      <c r="B955" s="62" t="s">
        <v>549</v>
      </c>
      <c r="C955" s="63"/>
      <c r="D955" s="64"/>
      <c r="E955" s="65"/>
      <c r="F955" s="66"/>
      <c r="G955" s="63"/>
      <c r="H955" s="67"/>
      <c r="I955" s="68"/>
      <c r="J955" s="68"/>
      <c r="K955" s="32"/>
      <c r="L955" s="75">
        <v>955</v>
      </c>
      <c r="M955" s="75"/>
      <c r="N955" s="70"/>
      <c r="O955" s="77" t="s">
        <v>179</v>
      </c>
      <c r="P955" s="79">
        <v>45170.595185185186</v>
      </c>
      <c r="Q955" s="77" t="s">
        <v>1499</v>
      </c>
      <c r="R955" s="77">
        <v>0</v>
      </c>
      <c r="S955" s="77">
        <v>0</v>
      </c>
      <c r="T955" s="77">
        <v>0</v>
      </c>
      <c r="U955" s="77">
        <v>0</v>
      </c>
      <c r="V955" s="77">
        <v>2</v>
      </c>
      <c r="W955" s="82" t="s">
        <v>2083</v>
      </c>
      <c r="X955" s="77"/>
      <c r="Y955" s="77"/>
      <c r="Z955" s="77"/>
      <c r="AA955" s="77" t="s">
        <v>2689</v>
      </c>
      <c r="AB955" s="77" t="s">
        <v>2713</v>
      </c>
      <c r="AC955" s="82" t="s">
        <v>2722</v>
      </c>
      <c r="AD955" s="77" t="s">
        <v>2752</v>
      </c>
      <c r="AE955" s="80" t="str">
        <f>HYPERLINK("https://twitter.com/marcos_b_39/status/1697614553419243652")</f>
        <v>https://twitter.com/marcos_b_39/status/1697614553419243652</v>
      </c>
      <c r="AF955" s="79">
        <v>45170.595185185186</v>
      </c>
      <c r="AG955" s="85">
        <v>45170</v>
      </c>
      <c r="AH955" s="82" t="s">
        <v>3695</v>
      </c>
      <c r="AI955" s="77" t="b">
        <v>0</v>
      </c>
      <c r="AJ955" s="77"/>
      <c r="AK955" s="77"/>
      <c r="AL955" s="77"/>
      <c r="AM955" s="77"/>
      <c r="AN955" s="77"/>
      <c r="AO955" s="77"/>
      <c r="AP955" s="77"/>
      <c r="AQ955" s="77" t="s">
        <v>4315</v>
      </c>
      <c r="AR955" s="77">
        <v>68100</v>
      </c>
      <c r="AS955" s="77"/>
      <c r="AT955" s="77"/>
      <c r="AU955" s="77"/>
      <c r="AV955" s="80" t="str">
        <f>HYPERLINK("https://pbs.twimg.com/ext_tw_video_thumb/1697614102573490176/pu/img/DdsRG702fAMN3iyJ.jpg")</f>
        <v>https://pbs.twimg.com/ext_tw_video_thumb/1697614102573490176/pu/img/DdsRG702fAMN3iyJ.jpg</v>
      </c>
      <c r="AW955" s="82" t="s">
        <v>5286</v>
      </c>
      <c r="AX955" s="82" t="s">
        <v>5286</v>
      </c>
      <c r="AY955" s="77"/>
      <c r="AZ955" s="82" t="s">
        <v>5615</v>
      </c>
      <c r="BA955" s="82" t="s">
        <v>5615</v>
      </c>
      <c r="BB955" s="82" t="s">
        <v>5615</v>
      </c>
      <c r="BC955" s="82" t="s">
        <v>5286</v>
      </c>
      <c r="BD955" s="77">
        <v>95668137</v>
      </c>
      <c r="BE955" s="77"/>
      <c r="BF955" s="77"/>
      <c r="BG955" s="77"/>
      <c r="BH955" s="77"/>
      <c r="BI955" s="77"/>
    </row>
    <row r="956" spans="1:61" x14ac:dyDescent="0.25">
      <c r="A956" s="62" t="s">
        <v>550</v>
      </c>
      <c r="B956" s="62" t="s">
        <v>550</v>
      </c>
      <c r="C956" s="63"/>
      <c r="D956" s="64"/>
      <c r="E956" s="65"/>
      <c r="F956" s="66"/>
      <c r="G956" s="63"/>
      <c r="H956" s="67"/>
      <c r="I956" s="68"/>
      <c r="J956" s="68"/>
      <c r="K956" s="32"/>
      <c r="L956" s="75">
        <v>956</v>
      </c>
      <c r="M956" s="75"/>
      <c r="N956" s="70"/>
      <c r="O956" s="77" t="s">
        <v>179</v>
      </c>
      <c r="P956" s="79">
        <v>45119.197048611109</v>
      </c>
      <c r="Q956" s="77" t="s">
        <v>1500</v>
      </c>
      <c r="R956" s="77">
        <v>1</v>
      </c>
      <c r="S956" s="77">
        <v>1</v>
      </c>
      <c r="T956" s="77">
        <v>0</v>
      </c>
      <c r="U956" s="77">
        <v>0</v>
      </c>
      <c r="V956" s="77">
        <v>78</v>
      </c>
      <c r="W956" s="82" t="s">
        <v>2084</v>
      </c>
      <c r="X956" s="77"/>
      <c r="Y956" s="77"/>
      <c r="Z956" s="77"/>
      <c r="AA956" s="77" t="s">
        <v>2690</v>
      </c>
      <c r="AB956" s="77" t="s">
        <v>2714</v>
      </c>
      <c r="AC956" s="82" t="s">
        <v>2722</v>
      </c>
      <c r="AD956" s="77" t="s">
        <v>2754</v>
      </c>
      <c r="AE956" s="80" t="str">
        <f>HYPERLINK("https://twitter.com/holistic_invest/status/1678988491764514817")</f>
        <v>https://twitter.com/holistic_invest/status/1678988491764514817</v>
      </c>
      <c r="AF956" s="79">
        <v>45119.197048611109</v>
      </c>
      <c r="AG956" s="85">
        <v>45119</v>
      </c>
      <c r="AH956" s="82" t="s">
        <v>3696</v>
      </c>
      <c r="AI956" s="77" t="b">
        <v>0</v>
      </c>
      <c r="AJ956" s="77"/>
      <c r="AK956" s="77"/>
      <c r="AL956" s="77"/>
      <c r="AM956" s="77"/>
      <c r="AN956" s="77"/>
      <c r="AO956" s="77"/>
      <c r="AP956" s="77"/>
      <c r="AQ956" s="77" t="s">
        <v>4316</v>
      </c>
      <c r="AR956" s="77"/>
      <c r="AS956" s="77"/>
      <c r="AT956" s="77"/>
      <c r="AU956" s="77"/>
      <c r="AV956" s="80" t="str">
        <f>HYPERLINK("https://pbs.twimg.com/media/F0z3GWlWwAEx-kT.png")</f>
        <v>https://pbs.twimg.com/media/F0z3GWlWwAEx-kT.png</v>
      </c>
      <c r="AW956" s="82" t="s">
        <v>5287</v>
      </c>
      <c r="AX956" s="82" t="s">
        <v>5287</v>
      </c>
      <c r="AY956" s="77"/>
      <c r="AZ956" s="82" t="s">
        <v>5615</v>
      </c>
      <c r="BA956" s="82" t="s">
        <v>5615</v>
      </c>
      <c r="BB956" s="82" t="s">
        <v>5615</v>
      </c>
      <c r="BC956" s="82" t="s">
        <v>5287</v>
      </c>
      <c r="BD956" s="82" t="s">
        <v>6085</v>
      </c>
      <c r="BE956" s="77"/>
      <c r="BF956" s="77"/>
      <c r="BG956" s="77"/>
      <c r="BH956" s="77"/>
      <c r="BI956" s="77"/>
    </row>
    <row r="957" spans="1:61" x14ac:dyDescent="0.25">
      <c r="A957" s="62" t="s">
        <v>551</v>
      </c>
      <c r="B957" s="62" t="s">
        <v>551</v>
      </c>
      <c r="C957" s="63"/>
      <c r="D957" s="64"/>
      <c r="E957" s="65"/>
      <c r="F957" s="66"/>
      <c r="G957" s="63"/>
      <c r="H957" s="67"/>
      <c r="I957" s="68"/>
      <c r="J957" s="68"/>
      <c r="K957" s="32"/>
      <c r="L957" s="75">
        <v>957</v>
      </c>
      <c r="M957" s="75"/>
      <c r="N957" s="70"/>
      <c r="O957" s="77" t="s">
        <v>583</v>
      </c>
      <c r="P957" s="79">
        <v>45001.517013888886</v>
      </c>
      <c r="Q957" s="77" t="s">
        <v>1501</v>
      </c>
      <c r="R957" s="77">
        <v>0</v>
      </c>
      <c r="S957" s="77">
        <v>0</v>
      </c>
      <c r="T957" s="77">
        <v>0</v>
      </c>
      <c r="U957" s="77">
        <v>0</v>
      </c>
      <c r="V957" s="77">
        <v>39</v>
      </c>
      <c r="W957" s="82" t="s">
        <v>2085</v>
      </c>
      <c r="X957" s="77"/>
      <c r="Y957" s="77"/>
      <c r="Z957" s="77"/>
      <c r="AA957" s="77"/>
      <c r="AB957" s="77"/>
      <c r="AC957" s="82" t="s">
        <v>2720</v>
      </c>
      <c r="AD957" s="77" t="s">
        <v>2756</v>
      </c>
      <c r="AE957" s="80" t="str">
        <f>HYPERLINK("https://twitter.com/rafael__costa__/status/1636342678492258304")</f>
        <v>https://twitter.com/rafael__costa__/status/1636342678492258304</v>
      </c>
      <c r="AF957" s="79">
        <v>45001.517013888886</v>
      </c>
      <c r="AG957" s="85">
        <v>45001</v>
      </c>
      <c r="AH957" s="82" t="s">
        <v>3697</v>
      </c>
      <c r="AI957" s="77"/>
      <c r="AJ957" s="77"/>
      <c r="AK957" s="77"/>
      <c r="AL957" s="77"/>
      <c r="AM957" s="77"/>
      <c r="AN957" s="77"/>
      <c r="AO957" s="77"/>
      <c r="AP957" s="77"/>
      <c r="AQ957" s="77"/>
      <c r="AR957" s="77"/>
      <c r="AS957" s="77"/>
      <c r="AT957" s="77"/>
      <c r="AU957" s="77"/>
      <c r="AV957" s="80" t="str">
        <f>HYPERLINK("https://pbs.twimg.com/profile_images/1460727419829116929/1hfB_OTD_normal.jpg")</f>
        <v>https://pbs.twimg.com/profile_images/1460727419829116929/1hfB_OTD_normal.jpg</v>
      </c>
      <c r="AW957" s="82" t="s">
        <v>5288</v>
      </c>
      <c r="AX957" s="82" t="s">
        <v>5561</v>
      </c>
      <c r="AY957" s="82" t="s">
        <v>5613</v>
      </c>
      <c r="AZ957" s="82" t="s">
        <v>5289</v>
      </c>
      <c r="BA957" s="82" t="s">
        <v>5615</v>
      </c>
      <c r="BB957" s="82" t="s">
        <v>5615</v>
      </c>
      <c r="BC957" s="82" t="s">
        <v>5289</v>
      </c>
      <c r="BD957" s="82" t="s">
        <v>5613</v>
      </c>
      <c r="BE957" s="77"/>
      <c r="BF957" s="77"/>
      <c r="BG957" s="77"/>
      <c r="BH957" s="77"/>
      <c r="BI957" s="77"/>
    </row>
    <row r="958" spans="1:61" x14ac:dyDescent="0.25">
      <c r="A958" s="62" t="s">
        <v>551</v>
      </c>
      <c r="B958" s="62" t="s">
        <v>551</v>
      </c>
      <c r="C958" s="63"/>
      <c r="D958" s="64"/>
      <c r="E958" s="65"/>
      <c r="F958" s="66"/>
      <c r="G958" s="63"/>
      <c r="H958" s="67"/>
      <c r="I958" s="68"/>
      <c r="J958" s="68"/>
      <c r="K958" s="32"/>
      <c r="L958" s="75">
        <v>958</v>
      </c>
      <c r="M958" s="75"/>
      <c r="N958" s="70"/>
      <c r="O958" s="77" t="s">
        <v>583</v>
      </c>
      <c r="P958" s="79">
        <v>45001.516956018517</v>
      </c>
      <c r="Q958" s="77" t="s">
        <v>1502</v>
      </c>
      <c r="R958" s="77">
        <v>0</v>
      </c>
      <c r="S958" s="77">
        <v>1</v>
      </c>
      <c r="T958" s="77">
        <v>1</v>
      </c>
      <c r="U958" s="77">
        <v>0</v>
      </c>
      <c r="V958" s="77">
        <v>15</v>
      </c>
      <c r="W958" s="82" t="s">
        <v>2086</v>
      </c>
      <c r="X958" s="77"/>
      <c r="Y958" s="77"/>
      <c r="Z958" s="77"/>
      <c r="AA958" s="77"/>
      <c r="AB958" s="77"/>
      <c r="AC958" s="82" t="s">
        <v>2720</v>
      </c>
      <c r="AD958" s="77" t="s">
        <v>2752</v>
      </c>
      <c r="AE958" s="80" t="str">
        <f>HYPERLINK("https://twitter.com/rafael__costa__/status/1636342656308477952")</f>
        <v>https://twitter.com/rafael__costa__/status/1636342656308477952</v>
      </c>
      <c r="AF958" s="79">
        <v>45001.516956018517</v>
      </c>
      <c r="AG958" s="85">
        <v>45001</v>
      </c>
      <c r="AH958" s="82" t="s">
        <v>3698</v>
      </c>
      <c r="AI958" s="77"/>
      <c r="AJ958" s="77"/>
      <c r="AK958" s="77"/>
      <c r="AL958" s="77"/>
      <c r="AM958" s="77"/>
      <c r="AN958" s="77"/>
      <c r="AO958" s="77"/>
      <c r="AP958" s="77"/>
      <c r="AQ958" s="77"/>
      <c r="AR958" s="77"/>
      <c r="AS958" s="77"/>
      <c r="AT958" s="77"/>
      <c r="AU958" s="77"/>
      <c r="AV958" s="80" t="str">
        <f>HYPERLINK("https://pbs.twimg.com/profile_images/1460727419829116929/1hfB_OTD_normal.jpg")</f>
        <v>https://pbs.twimg.com/profile_images/1460727419829116929/1hfB_OTD_normal.jpg</v>
      </c>
      <c r="AW958" s="82" t="s">
        <v>5289</v>
      </c>
      <c r="AX958" s="82" t="s">
        <v>5561</v>
      </c>
      <c r="AY958" s="82" t="s">
        <v>5613</v>
      </c>
      <c r="AZ958" s="82" t="s">
        <v>5831</v>
      </c>
      <c r="BA958" s="82" t="s">
        <v>5615</v>
      </c>
      <c r="BB958" s="82" t="s">
        <v>5615</v>
      </c>
      <c r="BC958" s="82" t="s">
        <v>5831</v>
      </c>
      <c r="BD958" s="82" t="s">
        <v>5613</v>
      </c>
      <c r="BE958" s="77"/>
      <c r="BF958" s="77"/>
      <c r="BG958" s="77"/>
      <c r="BH958" s="77"/>
      <c r="BI958" s="77"/>
    </row>
    <row r="959" spans="1:61" x14ac:dyDescent="0.25">
      <c r="A959" s="62" t="s">
        <v>551</v>
      </c>
      <c r="B959" s="62" t="s">
        <v>551</v>
      </c>
      <c r="C959" s="63"/>
      <c r="D959" s="64"/>
      <c r="E959" s="65"/>
      <c r="F959" s="66"/>
      <c r="G959" s="63"/>
      <c r="H959" s="67"/>
      <c r="I959" s="68"/>
      <c r="J959" s="68"/>
      <c r="K959" s="32"/>
      <c r="L959" s="75">
        <v>959</v>
      </c>
      <c r="M959" s="75"/>
      <c r="N959" s="70"/>
      <c r="O959" s="77" t="s">
        <v>583</v>
      </c>
      <c r="P959" s="79">
        <v>44945.346863425926</v>
      </c>
      <c r="Q959" s="77" t="s">
        <v>1503</v>
      </c>
      <c r="R959" s="77">
        <v>0</v>
      </c>
      <c r="S959" s="77">
        <v>0</v>
      </c>
      <c r="T959" s="77">
        <v>1</v>
      </c>
      <c r="U959" s="77">
        <v>0</v>
      </c>
      <c r="V959" s="77">
        <v>61</v>
      </c>
      <c r="W959" s="82" t="s">
        <v>2087</v>
      </c>
      <c r="X959" s="77"/>
      <c r="Y959" s="77"/>
      <c r="Z959" s="77"/>
      <c r="AA959" s="77"/>
      <c r="AB959" s="77"/>
      <c r="AC959" s="82" t="s">
        <v>2720</v>
      </c>
      <c r="AD959" s="77" t="s">
        <v>2752</v>
      </c>
      <c r="AE959" s="80" t="str">
        <f>HYPERLINK("https://twitter.com/rafael__costa__/status/1615987294942670849")</f>
        <v>https://twitter.com/rafael__costa__/status/1615987294942670849</v>
      </c>
      <c r="AF959" s="79">
        <v>44945.346863425926</v>
      </c>
      <c r="AG959" s="85">
        <v>44945</v>
      </c>
      <c r="AH959" s="82" t="s">
        <v>3699</v>
      </c>
      <c r="AI959" s="77"/>
      <c r="AJ959" s="77"/>
      <c r="AK959" s="77"/>
      <c r="AL959" s="77"/>
      <c r="AM959" s="77"/>
      <c r="AN959" s="77"/>
      <c r="AO959" s="77"/>
      <c r="AP959" s="77"/>
      <c r="AQ959" s="77"/>
      <c r="AR959" s="77"/>
      <c r="AS959" s="77"/>
      <c r="AT959" s="77"/>
      <c r="AU959" s="77"/>
      <c r="AV959" s="80" t="str">
        <f>HYPERLINK("https://pbs.twimg.com/profile_images/1460727419829116929/1hfB_OTD_normal.jpg")</f>
        <v>https://pbs.twimg.com/profile_images/1460727419829116929/1hfB_OTD_normal.jpg</v>
      </c>
      <c r="AW959" s="82" t="s">
        <v>5290</v>
      </c>
      <c r="AX959" s="82" t="s">
        <v>5562</v>
      </c>
      <c r="AY959" s="82" t="s">
        <v>5613</v>
      </c>
      <c r="AZ959" s="82" t="s">
        <v>5832</v>
      </c>
      <c r="BA959" s="82" t="s">
        <v>5615</v>
      </c>
      <c r="BB959" s="82" t="s">
        <v>5615</v>
      </c>
      <c r="BC959" s="82" t="s">
        <v>5832</v>
      </c>
      <c r="BD959" s="82" t="s">
        <v>5613</v>
      </c>
      <c r="BE959" s="77"/>
      <c r="BF959" s="77"/>
      <c r="BG959" s="77"/>
      <c r="BH959" s="77"/>
      <c r="BI959" s="77"/>
    </row>
    <row r="960" spans="1:61" x14ac:dyDescent="0.25">
      <c r="A960" s="62" t="s">
        <v>551</v>
      </c>
      <c r="B960" s="62" t="s">
        <v>551</v>
      </c>
      <c r="C960" s="63"/>
      <c r="D960" s="64"/>
      <c r="E960" s="65"/>
      <c r="F960" s="66"/>
      <c r="G960" s="63"/>
      <c r="H960" s="67"/>
      <c r="I960" s="68"/>
      <c r="J960" s="68"/>
      <c r="K960" s="32"/>
      <c r="L960" s="75">
        <v>960</v>
      </c>
      <c r="M960" s="75"/>
      <c r="N960" s="70"/>
      <c r="O960" s="77" t="s">
        <v>583</v>
      </c>
      <c r="P960" s="79">
        <v>45059.543310185189</v>
      </c>
      <c r="Q960" s="77" t="s">
        <v>1504</v>
      </c>
      <c r="R960" s="77">
        <v>0</v>
      </c>
      <c r="S960" s="77">
        <v>0</v>
      </c>
      <c r="T960" s="77">
        <v>0</v>
      </c>
      <c r="U960" s="77">
        <v>0</v>
      </c>
      <c r="V960" s="77">
        <v>15</v>
      </c>
      <c r="W960" s="82" t="s">
        <v>2088</v>
      </c>
      <c r="X960" s="77"/>
      <c r="Y960" s="77"/>
      <c r="Z960" s="77"/>
      <c r="AA960" s="77"/>
      <c r="AB960" s="77"/>
      <c r="AC960" s="82" t="s">
        <v>2720</v>
      </c>
      <c r="AD960" s="77" t="s">
        <v>2756</v>
      </c>
      <c r="AE960" s="80" t="str">
        <f>HYPERLINK("https://twitter.com/rafael__costa__/status/1657370700233973762")</f>
        <v>https://twitter.com/rafael__costa__/status/1657370700233973762</v>
      </c>
      <c r="AF960" s="79">
        <v>45059.543310185189</v>
      </c>
      <c r="AG960" s="85">
        <v>45059</v>
      </c>
      <c r="AH960" s="82" t="s">
        <v>3700</v>
      </c>
      <c r="AI960" s="77"/>
      <c r="AJ960" s="77"/>
      <c r="AK960" s="77"/>
      <c r="AL960" s="77"/>
      <c r="AM960" s="77"/>
      <c r="AN960" s="77"/>
      <c r="AO960" s="77"/>
      <c r="AP960" s="77"/>
      <c r="AQ960" s="77"/>
      <c r="AR960" s="77"/>
      <c r="AS960" s="77"/>
      <c r="AT960" s="77"/>
      <c r="AU960" s="77"/>
      <c r="AV960" s="80" t="str">
        <f>HYPERLINK("https://pbs.twimg.com/profile_images/1460727419829116929/1hfB_OTD_normal.jpg")</f>
        <v>https://pbs.twimg.com/profile_images/1460727419829116929/1hfB_OTD_normal.jpg</v>
      </c>
      <c r="AW960" s="82" t="s">
        <v>5291</v>
      </c>
      <c r="AX960" s="82" t="s">
        <v>5563</v>
      </c>
      <c r="AY960" s="82" t="s">
        <v>5613</v>
      </c>
      <c r="AZ960" s="82" t="s">
        <v>5833</v>
      </c>
      <c r="BA960" s="82" t="s">
        <v>5615</v>
      </c>
      <c r="BB960" s="82" t="s">
        <v>5615</v>
      </c>
      <c r="BC960" s="82" t="s">
        <v>5833</v>
      </c>
      <c r="BD960" s="82" t="s">
        <v>5613</v>
      </c>
      <c r="BE960" s="77"/>
      <c r="BF960" s="77"/>
      <c r="BG960" s="77"/>
      <c r="BH960" s="77"/>
      <c r="BI960" s="77"/>
    </row>
    <row r="961" spans="1:61" x14ac:dyDescent="0.25">
      <c r="A961" s="62" t="s">
        <v>551</v>
      </c>
      <c r="B961" s="62" t="s">
        <v>551</v>
      </c>
      <c r="C961" s="63"/>
      <c r="D961" s="64"/>
      <c r="E961" s="65"/>
      <c r="F961" s="66"/>
      <c r="G961" s="63"/>
      <c r="H961" s="67"/>
      <c r="I961" s="68"/>
      <c r="J961" s="68"/>
      <c r="K961" s="32"/>
      <c r="L961" s="75">
        <v>961</v>
      </c>
      <c r="M961" s="75"/>
      <c r="N961" s="70"/>
      <c r="O961" s="77" t="s">
        <v>583</v>
      </c>
      <c r="P961" s="79">
        <v>44966.444374999999</v>
      </c>
      <c r="Q961" s="77" t="s">
        <v>1505</v>
      </c>
      <c r="R961" s="77">
        <v>0</v>
      </c>
      <c r="S961" s="77">
        <v>0</v>
      </c>
      <c r="T961" s="77">
        <v>1</v>
      </c>
      <c r="U961" s="77">
        <v>0</v>
      </c>
      <c r="V961" s="77">
        <v>30</v>
      </c>
      <c r="W961" s="82" t="s">
        <v>2089</v>
      </c>
      <c r="X961" s="77"/>
      <c r="Y961" s="77"/>
      <c r="Z961" s="77"/>
      <c r="AA961" s="77"/>
      <c r="AB961" s="77"/>
      <c r="AC961" s="82" t="s">
        <v>2720</v>
      </c>
      <c r="AD961" s="77" t="s">
        <v>2752</v>
      </c>
      <c r="AE961" s="80" t="str">
        <f>HYPERLINK("https://twitter.com/rafael__costa__/status/1623632779400323074")</f>
        <v>https://twitter.com/rafael__costa__/status/1623632779400323074</v>
      </c>
      <c r="AF961" s="79">
        <v>44966.444374999999</v>
      </c>
      <c r="AG961" s="85">
        <v>44966</v>
      </c>
      <c r="AH961" s="82" t="s">
        <v>3701</v>
      </c>
      <c r="AI961" s="77"/>
      <c r="AJ961" s="77"/>
      <c r="AK961" s="77"/>
      <c r="AL961" s="77"/>
      <c r="AM961" s="77"/>
      <c r="AN961" s="77"/>
      <c r="AO961" s="77"/>
      <c r="AP961" s="77"/>
      <c r="AQ961" s="77"/>
      <c r="AR961" s="77"/>
      <c r="AS961" s="77"/>
      <c r="AT961" s="77"/>
      <c r="AU961" s="77"/>
      <c r="AV961" s="80" t="str">
        <f>HYPERLINK("https://pbs.twimg.com/profile_images/1460727419829116929/1hfB_OTD_normal.jpg")</f>
        <v>https://pbs.twimg.com/profile_images/1460727419829116929/1hfB_OTD_normal.jpg</v>
      </c>
      <c r="AW961" s="82" t="s">
        <v>5292</v>
      </c>
      <c r="AX961" s="82" t="s">
        <v>5564</v>
      </c>
      <c r="AY961" s="82" t="s">
        <v>5613</v>
      </c>
      <c r="AZ961" s="82" t="s">
        <v>5834</v>
      </c>
      <c r="BA961" s="82" t="s">
        <v>5615</v>
      </c>
      <c r="BB961" s="82" t="s">
        <v>5615</v>
      </c>
      <c r="BC961" s="82" t="s">
        <v>5834</v>
      </c>
      <c r="BD961" s="82" t="s">
        <v>5613</v>
      </c>
      <c r="BE961" s="77"/>
      <c r="BF961" s="77"/>
      <c r="BG961" s="77"/>
      <c r="BH961" s="77"/>
      <c r="BI961" s="77"/>
    </row>
    <row r="962" spans="1:61" x14ac:dyDescent="0.25">
      <c r="A962" s="62" t="s">
        <v>551</v>
      </c>
      <c r="B962" s="62" t="s">
        <v>551</v>
      </c>
      <c r="C962" s="63"/>
      <c r="D962" s="64"/>
      <c r="E962" s="65"/>
      <c r="F962" s="66"/>
      <c r="G962" s="63"/>
      <c r="H962" s="67"/>
      <c r="I962" s="68"/>
      <c r="J962" s="68"/>
      <c r="K962" s="32"/>
      <c r="L962" s="75">
        <v>962</v>
      </c>
      <c r="M962" s="75"/>
      <c r="N962" s="70"/>
      <c r="O962" s="77" t="s">
        <v>583</v>
      </c>
      <c r="P962" s="79">
        <v>44939.36278935185</v>
      </c>
      <c r="Q962" s="77" t="s">
        <v>1506</v>
      </c>
      <c r="R962" s="77">
        <v>0</v>
      </c>
      <c r="S962" s="77">
        <v>0</v>
      </c>
      <c r="T962" s="77">
        <v>0</v>
      </c>
      <c r="U962" s="77">
        <v>0</v>
      </c>
      <c r="V962" s="77">
        <v>95</v>
      </c>
      <c r="W962" s="82" t="s">
        <v>2090</v>
      </c>
      <c r="X962" s="77"/>
      <c r="Y962" s="77"/>
      <c r="Z962" s="77"/>
      <c r="AA962" s="77" t="s">
        <v>2691</v>
      </c>
      <c r="AB962" s="77" t="s">
        <v>2714</v>
      </c>
      <c r="AC962" s="82" t="s">
        <v>2720</v>
      </c>
      <c r="AD962" s="77" t="s">
        <v>2753</v>
      </c>
      <c r="AE962" s="80" t="str">
        <f>HYPERLINK("https://twitter.com/rafael__costa__/status/1613818738817617920")</f>
        <v>https://twitter.com/rafael__costa__/status/1613818738817617920</v>
      </c>
      <c r="AF962" s="79">
        <v>44939.36278935185</v>
      </c>
      <c r="AG962" s="85">
        <v>44939</v>
      </c>
      <c r="AH962" s="82" t="s">
        <v>3702</v>
      </c>
      <c r="AI962" s="77" t="b">
        <v>0</v>
      </c>
      <c r="AJ962" s="77"/>
      <c r="AK962" s="77"/>
      <c r="AL962" s="77"/>
      <c r="AM962" s="77"/>
      <c r="AN962" s="77"/>
      <c r="AO962" s="77"/>
      <c r="AP962" s="77"/>
      <c r="AQ962" s="77" t="s">
        <v>4317</v>
      </c>
      <c r="AR962" s="77"/>
      <c r="AS962" s="77"/>
      <c r="AT962" s="77"/>
      <c r="AU962" s="77"/>
      <c r="AV962" s="80" t="str">
        <f>HYPERLINK("https://pbs.twimg.com/media/FmVvlpeXEAEFD1X.jpg")</f>
        <v>https://pbs.twimg.com/media/FmVvlpeXEAEFD1X.jpg</v>
      </c>
      <c r="AW962" s="82" t="s">
        <v>5293</v>
      </c>
      <c r="AX962" s="82" t="s">
        <v>5565</v>
      </c>
      <c r="AY962" s="82" t="s">
        <v>5613</v>
      </c>
      <c r="AZ962" s="82" t="s">
        <v>5835</v>
      </c>
      <c r="BA962" s="82" t="s">
        <v>5615</v>
      </c>
      <c r="BB962" s="82" t="s">
        <v>5615</v>
      </c>
      <c r="BC962" s="82" t="s">
        <v>5835</v>
      </c>
      <c r="BD962" s="82" t="s">
        <v>5613</v>
      </c>
      <c r="BE962" s="77"/>
      <c r="BF962" s="77"/>
      <c r="BG962" s="77"/>
      <c r="BH962" s="77"/>
      <c r="BI962" s="77"/>
    </row>
    <row r="963" spans="1:61" x14ac:dyDescent="0.25">
      <c r="A963" s="62" t="s">
        <v>551</v>
      </c>
      <c r="B963" s="62" t="s">
        <v>551</v>
      </c>
      <c r="C963" s="63"/>
      <c r="D963" s="64"/>
      <c r="E963" s="65"/>
      <c r="F963" s="66"/>
      <c r="G963" s="63"/>
      <c r="H963" s="67"/>
      <c r="I963" s="68"/>
      <c r="J963" s="68"/>
      <c r="K963" s="32"/>
      <c r="L963" s="75">
        <v>963</v>
      </c>
      <c r="M963" s="75"/>
      <c r="N963" s="70"/>
      <c r="O963" s="77" t="s">
        <v>583</v>
      </c>
      <c r="P963" s="79">
        <v>44938.428761574076</v>
      </c>
      <c r="Q963" s="77" t="s">
        <v>1507</v>
      </c>
      <c r="R963" s="77">
        <v>0</v>
      </c>
      <c r="S963" s="77">
        <v>0</v>
      </c>
      <c r="T963" s="77">
        <v>1</v>
      </c>
      <c r="U963" s="77">
        <v>0</v>
      </c>
      <c r="V963" s="77">
        <v>31</v>
      </c>
      <c r="W963" s="82" t="s">
        <v>2086</v>
      </c>
      <c r="X963" s="77"/>
      <c r="Y963" s="77"/>
      <c r="Z963" s="77"/>
      <c r="AA963" s="77"/>
      <c r="AB963" s="77"/>
      <c r="AC963" s="82" t="s">
        <v>2720</v>
      </c>
      <c r="AD963" s="77" t="s">
        <v>2752</v>
      </c>
      <c r="AE963" s="80" t="str">
        <f>HYPERLINK("https://twitter.com/rafael__costa__/status/1613480261441699841")</f>
        <v>https://twitter.com/rafael__costa__/status/1613480261441699841</v>
      </c>
      <c r="AF963" s="79">
        <v>44938.428761574076</v>
      </c>
      <c r="AG963" s="85">
        <v>44938</v>
      </c>
      <c r="AH963" s="82" t="s">
        <v>3703</v>
      </c>
      <c r="AI963" s="77"/>
      <c r="AJ963" s="77"/>
      <c r="AK963" s="77"/>
      <c r="AL963" s="77"/>
      <c r="AM963" s="77"/>
      <c r="AN963" s="77"/>
      <c r="AO963" s="77"/>
      <c r="AP963" s="77"/>
      <c r="AQ963" s="77"/>
      <c r="AR963" s="77"/>
      <c r="AS963" s="77"/>
      <c r="AT963" s="77"/>
      <c r="AU963" s="77"/>
      <c r="AV963" s="80" t="str">
        <f>HYPERLINK("https://pbs.twimg.com/profile_images/1460727419829116929/1hfB_OTD_normal.jpg")</f>
        <v>https://pbs.twimg.com/profile_images/1460727419829116929/1hfB_OTD_normal.jpg</v>
      </c>
      <c r="AW963" s="82" t="s">
        <v>5294</v>
      </c>
      <c r="AX963" s="82" t="s">
        <v>5566</v>
      </c>
      <c r="AY963" s="82" t="s">
        <v>5613</v>
      </c>
      <c r="AZ963" s="82" t="s">
        <v>5836</v>
      </c>
      <c r="BA963" s="82" t="s">
        <v>5615</v>
      </c>
      <c r="BB963" s="82" t="s">
        <v>5615</v>
      </c>
      <c r="BC963" s="82" t="s">
        <v>5836</v>
      </c>
      <c r="BD963" s="82" t="s">
        <v>5613</v>
      </c>
      <c r="BE963" s="77"/>
      <c r="BF963" s="77"/>
      <c r="BG963" s="77"/>
      <c r="BH963" s="77"/>
      <c r="BI963" s="77"/>
    </row>
    <row r="964" spans="1:61" x14ac:dyDescent="0.25">
      <c r="A964" s="62" t="s">
        <v>551</v>
      </c>
      <c r="B964" s="62" t="s">
        <v>551</v>
      </c>
      <c r="C964" s="63"/>
      <c r="D964" s="64"/>
      <c r="E964" s="65"/>
      <c r="F964" s="66"/>
      <c r="G964" s="63"/>
      <c r="H964" s="67"/>
      <c r="I964" s="68"/>
      <c r="J964" s="68"/>
      <c r="K964" s="32"/>
      <c r="L964" s="75">
        <v>964</v>
      </c>
      <c r="M964" s="75"/>
      <c r="N964" s="70"/>
      <c r="O964" s="77" t="s">
        <v>583</v>
      </c>
      <c r="P964" s="79">
        <v>44931.455428240741</v>
      </c>
      <c r="Q964" s="77" t="s">
        <v>1508</v>
      </c>
      <c r="R964" s="77">
        <v>0</v>
      </c>
      <c r="S964" s="77">
        <v>1</v>
      </c>
      <c r="T964" s="77">
        <v>1</v>
      </c>
      <c r="U964" s="77">
        <v>0</v>
      </c>
      <c r="V964" s="77">
        <v>30</v>
      </c>
      <c r="W964" s="82" t="s">
        <v>2091</v>
      </c>
      <c r="X964" s="77"/>
      <c r="Y964" s="77"/>
      <c r="Z964" s="77"/>
      <c r="AA964" s="77"/>
      <c r="AB964" s="77"/>
      <c r="AC964" s="82" t="s">
        <v>2720</v>
      </c>
      <c r="AD964" s="77" t="s">
        <v>2752</v>
      </c>
      <c r="AE964" s="80" t="str">
        <f>HYPERLINK("https://twitter.com/rafael__costa__/status/1610953207739473920")</f>
        <v>https://twitter.com/rafael__costa__/status/1610953207739473920</v>
      </c>
      <c r="AF964" s="79">
        <v>44931.455428240741</v>
      </c>
      <c r="AG964" s="85">
        <v>44931</v>
      </c>
      <c r="AH964" s="82" t="s">
        <v>3704</v>
      </c>
      <c r="AI964" s="77"/>
      <c r="AJ964" s="77"/>
      <c r="AK964" s="77"/>
      <c r="AL964" s="77"/>
      <c r="AM964" s="77"/>
      <c r="AN964" s="77"/>
      <c r="AO964" s="77"/>
      <c r="AP964" s="77"/>
      <c r="AQ964" s="77"/>
      <c r="AR964" s="77"/>
      <c r="AS964" s="77"/>
      <c r="AT964" s="77"/>
      <c r="AU964" s="77"/>
      <c r="AV964" s="80" t="str">
        <f>HYPERLINK("https://pbs.twimg.com/profile_images/1460727419829116929/1hfB_OTD_normal.jpg")</f>
        <v>https://pbs.twimg.com/profile_images/1460727419829116929/1hfB_OTD_normal.jpg</v>
      </c>
      <c r="AW964" s="82" t="s">
        <v>5295</v>
      </c>
      <c r="AX964" s="82" t="s">
        <v>5567</v>
      </c>
      <c r="AY964" s="82" t="s">
        <v>5613</v>
      </c>
      <c r="AZ964" s="82" t="s">
        <v>5837</v>
      </c>
      <c r="BA964" s="82" t="s">
        <v>5615</v>
      </c>
      <c r="BB964" s="82" t="s">
        <v>5615</v>
      </c>
      <c r="BC964" s="82" t="s">
        <v>5837</v>
      </c>
      <c r="BD964" s="82" t="s">
        <v>5613</v>
      </c>
      <c r="BE964" s="77"/>
      <c r="BF964" s="77"/>
      <c r="BG964" s="77"/>
      <c r="BH964" s="77"/>
      <c r="BI964" s="77"/>
    </row>
    <row r="965" spans="1:61" x14ac:dyDescent="0.25">
      <c r="A965" s="62" t="s">
        <v>551</v>
      </c>
      <c r="B965" s="62" t="s">
        <v>551</v>
      </c>
      <c r="C965" s="63"/>
      <c r="D965" s="64"/>
      <c r="E965" s="65"/>
      <c r="F965" s="66"/>
      <c r="G965" s="63"/>
      <c r="H965" s="67"/>
      <c r="I965" s="68"/>
      <c r="J965" s="68"/>
      <c r="K965" s="32"/>
      <c r="L965" s="75">
        <v>965</v>
      </c>
      <c r="M965" s="75"/>
      <c r="N965" s="70"/>
      <c r="O965" s="77" t="s">
        <v>583</v>
      </c>
      <c r="P965" s="79">
        <v>45118.352060185185</v>
      </c>
      <c r="Q965" s="77" t="s">
        <v>1509</v>
      </c>
      <c r="R965" s="77">
        <v>0</v>
      </c>
      <c r="S965" s="77">
        <v>0</v>
      </c>
      <c r="T965" s="77">
        <v>1</v>
      </c>
      <c r="U965" s="77">
        <v>0</v>
      </c>
      <c r="V965" s="77">
        <v>16</v>
      </c>
      <c r="W965" s="82" t="s">
        <v>2092</v>
      </c>
      <c r="X965" s="77"/>
      <c r="Y965" s="77"/>
      <c r="Z965" s="77"/>
      <c r="AA965" s="77"/>
      <c r="AB965" s="77"/>
      <c r="AC965" s="82" t="s">
        <v>2720</v>
      </c>
      <c r="AD965" s="77" t="s">
        <v>2752</v>
      </c>
      <c r="AE965" s="80" t="str">
        <f>HYPERLINK("https://twitter.com/rafael__costa__/status/1678682280363999232")</f>
        <v>https://twitter.com/rafael__costa__/status/1678682280363999232</v>
      </c>
      <c r="AF965" s="79">
        <v>45118.352060185185</v>
      </c>
      <c r="AG965" s="85">
        <v>45118</v>
      </c>
      <c r="AH965" s="82" t="s">
        <v>3705</v>
      </c>
      <c r="AI965" s="77"/>
      <c r="AJ965" s="77"/>
      <c r="AK965" s="77"/>
      <c r="AL965" s="77"/>
      <c r="AM965" s="77"/>
      <c r="AN965" s="77"/>
      <c r="AO965" s="77"/>
      <c r="AP965" s="77"/>
      <c r="AQ965" s="77"/>
      <c r="AR965" s="77"/>
      <c r="AS965" s="77"/>
      <c r="AT965" s="77"/>
      <c r="AU965" s="77"/>
      <c r="AV965" s="80" t="str">
        <f>HYPERLINK("https://pbs.twimg.com/profile_images/1460727419829116929/1hfB_OTD_normal.jpg")</f>
        <v>https://pbs.twimg.com/profile_images/1460727419829116929/1hfB_OTD_normal.jpg</v>
      </c>
      <c r="AW965" s="82" t="s">
        <v>5296</v>
      </c>
      <c r="AX965" s="82" t="s">
        <v>5568</v>
      </c>
      <c r="AY965" s="82" t="s">
        <v>5613</v>
      </c>
      <c r="AZ965" s="82" t="s">
        <v>5838</v>
      </c>
      <c r="BA965" s="82" t="s">
        <v>5615</v>
      </c>
      <c r="BB965" s="82" t="s">
        <v>5615</v>
      </c>
      <c r="BC965" s="82" t="s">
        <v>5838</v>
      </c>
      <c r="BD965" s="82" t="s">
        <v>5613</v>
      </c>
      <c r="BE965" s="77"/>
      <c r="BF965" s="77"/>
      <c r="BG965" s="77"/>
      <c r="BH965" s="77"/>
      <c r="BI965" s="77"/>
    </row>
    <row r="966" spans="1:61" x14ac:dyDescent="0.25">
      <c r="A966" s="62" t="s">
        <v>551</v>
      </c>
      <c r="B966" s="62" t="s">
        <v>551</v>
      </c>
      <c r="C966" s="63"/>
      <c r="D966" s="64"/>
      <c r="E966" s="65"/>
      <c r="F966" s="66"/>
      <c r="G966" s="63"/>
      <c r="H966" s="67"/>
      <c r="I966" s="68"/>
      <c r="J966" s="68"/>
      <c r="K966" s="32"/>
      <c r="L966" s="75">
        <v>966</v>
      </c>
      <c r="M966" s="75"/>
      <c r="N966" s="70"/>
      <c r="O966" s="77" t="s">
        <v>583</v>
      </c>
      <c r="P966" s="79">
        <v>45064.429965277777</v>
      </c>
      <c r="Q966" s="77" t="s">
        <v>1510</v>
      </c>
      <c r="R966" s="77">
        <v>0</v>
      </c>
      <c r="S966" s="77">
        <v>0</v>
      </c>
      <c r="T966" s="77">
        <v>1</v>
      </c>
      <c r="U966" s="77">
        <v>0</v>
      </c>
      <c r="V966" s="77">
        <v>13</v>
      </c>
      <c r="W966" s="82" t="s">
        <v>2093</v>
      </c>
      <c r="X966" s="77"/>
      <c r="Y966" s="77"/>
      <c r="Z966" s="77"/>
      <c r="AA966" s="77"/>
      <c r="AB966" s="77"/>
      <c r="AC966" s="82" t="s">
        <v>2720</v>
      </c>
      <c r="AD966" s="77" t="s">
        <v>2752</v>
      </c>
      <c r="AE966" s="80" t="str">
        <f>HYPERLINK("https://twitter.com/rafael__costa__/status/1659141567699886081")</f>
        <v>https://twitter.com/rafael__costa__/status/1659141567699886081</v>
      </c>
      <c r="AF966" s="79">
        <v>45064.429965277777</v>
      </c>
      <c r="AG966" s="85">
        <v>45064</v>
      </c>
      <c r="AH966" s="82" t="s">
        <v>3706</v>
      </c>
      <c r="AI966" s="77"/>
      <c r="AJ966" s="77"/>
      <c r="AK966" s="77"/>
      <c r="AL966" s="77"/>
      <c r="AM966" s="77"/>
      <c r="AN966" s="77"/>
      <c r="AO966" s="77"/>
      <c r="AP966" s="77"/>
      <c r="AQ966" s="77"/>
      <c r="AR966" s="77"/>
      <c r="AS966" s="77"/>
      <c r="AT966" s="77"/>
      <c r="AU966" s="77"/>
      <c r="AV966" s="80" t="str">
        <f>HYPERLINK("https://pbs.twimg.com/profile_images/1460727419829116929/1hfB_OTD_normal.jpg")</f>
        <v>https://pbs.twimg.com/profile_images/1460727419829116929/1hfB_OTD_normal.jpg</v>
      </c>
      <c r="AW966" s="82" t="s">
        <v>5297</v>
      </c>
      <c r="AX966" s="82" t="s">
        <v>5569</v>
      </c>
      <c r="AY966" s="82" t="s">
        <v>5613</v>
      </c>
      <c r="AZ966" s="82" t="s">
        <v>5839</v>
      </c>
      <c r="BA966" s="82" t="s">
        <v>5615</v>
      </c>
      <c r="BB966" s="82" t="s">
        <v>5615</v>
      </c>
      <c r="BC966" s="82" t="s">
        <v>5839</v>
      </c>
      <c r="BD966" s="82" t="s">
        <v>5613</v>
      </c>
      <c r="BE966" s="77"/>
      <c r="BF966" s="77"/>
      <c r="BG966" s="77"/>
      <c r="BH966" s="77"/>
      <c r="BI966" s="77"/>
    </row>
    <row r="967" spans="1:61" x14ac:dyDescent="0.25">
      <c r="A967" s="62" t="s">
        <v>551</v>
      </c>
      <c r="B967" s="62" t="s">
        <v>551</v>
      </c>
      <c r="C967" s="63"/>
      <c r="D967" s="64"/>
      <c r="E967" s="65"/>
      <c r="F967" s="66"/>
      <c r="G967" s="63"/>
      <c r="H967" s="67"/>
      <c r="I967" s="68"/>
      <c r="J967" s="68"/>
      <c r="K967" s="32"/>
      <c r="L967" s="75">
        <v>967</v>
      </c>
      <c r="M967" s="75"/>
      <c r="N967" s="70"/>
      <c r="O967" s="77" t="s">
        <v>583</v>
      </c>
      <c r="P967" s="79">
        <v>45063.360694444447</v>
      </c>
      <c r="Q967" s="77" t="s">
        <v>1511</v>
      </c>
      <c r="R967" s="77">
        <v>0</v>
      </c>
      <c r="S967" s="77">
        <v>0</v>
      </c>
      <c r="T967" s="77">
        <v>0</v>
      </c>
      <c r="U967" s="77">
        <v>0</v>
      </c>
      <c r="V967" s="77">
        <v>25</v>
      </c>
      <c r="W967" s="82" t="s">
        <v>2094</v>
      </c>
      <c r="X967" s="77"/>
      <c r="Y967" s="77"/>
      <c r="Z967" s="77"/>
      <c r="AA967" s="77"/>
      <c r="AB967" s="77"/>
      <c r="AC967" s="82" t="s">
        <v>2720</v>
      </c>
      <c r="AD967" s="77" t="s">
        <v>2756</v>
      </c>
      <c r="AE967" s="80" t="str">
        <f>HYPERLINK("https://twitter.com/rafael__costa__/status/1658754074282434561")</f>
        <v>https://twitter.com/rafael__costa__/status/1658754074282434561</v>
      </c>
      <c r="AF967" s="79">
        <v>45063.360694444447</v>
      </c>
      <c r="AG967" s="85">
        <v>45063</v>
      </c>
      <c r="AH967" s="82" t="s">
        <v>3707</v>
      </c>
      <c r="AI967" s="77"/>
      <c r="AJ967" s="77"/>
      <c r="AK967" s="77"/>
      <c r="AL967" s="77"/>
      <c r="AM967" s="77"/>
      <c r="AN967" s="77"/>
      <c r="AO967" s="77"/>
      <c r="AP967" s="77"/>
      <c r="AQ967" s="77"/>
      <c r="AR967" s="77"/>
      <c r="AS967" s="77"/>
      <c r="AT967" s="77"/>
      <c r="AU967" s="77"/>
      <c r="AV967" s="80" t="str">
        <f>HYPERLINK("https://pbs.twimg.com/profile_images/1460727419829116929/1hfB_OTD_normal.jpg")</f>
        <v>https://pbs.twimg.com/profile_images/1460727419829116929/1hfB_OTD_normal.jpg</v>
      </c>
      <c r="AW967" s="82" t="s">
        <v>5298</v>
      </c>
      <c r="AX967" s="82" t="s">
        <v>5570</v>
      </c>
      <c r="AY967" s="82" t="s">
        <v>5613</v>
      </c>
      <c r="AZ967" s="82" t="s">
        <v>5840</v>
      </c>
      <c r="BA967" s="82" t="s">
        <v>5615</v>
      </c>
      <c r="BB967" s="82" t="s">
        <v>5615</v>
      </c>
      <c r="BC967" s="82" t="s">
        <v>5840</v>
      </c>
      <c r="BD967" s="82" t="s">
        <v>5613</v>
      </c>
      <c r="BE967" s="77"/>
      <c r="BF967" s="77"/>
      <c r="BG967" s="77"/>
      <c r="BH967" s="77"/>
      <c r="BI967" s="77"/>
    </row>
    <row r="968" spans="1:61" x14ac:dyDescent="0.25">
      <c r="A968" s="62" t="s">
        <v>551</v>
      </c>
      <c r="B968" s="62" t="s">
        <v>551</v>
      </c>
      <c r="C968" s="63"/>
      <c r="D968" s="64"/>
      <c r="E968" s="65"/>
      <c r="F968" s="66"/>
      <c r="G968" s="63"/>
      <c r="H968" s="67"/>
      <c r="I968" s="68"/>
      <c r="J968" s="68"/>
      <c r="K968" s="32"/>
      <c r="L968" s="75">
        <v>968</v>
      </c>
      <c r="M968" s="75"/>
      <c r="N968" s="70"/>
      <c r="O968" s="77" t="s">
        <v>583</v>
      </c>
      <c r="P968" s="79">
        <v>44973.447245370371</v>
      </c>
      <c r="Q968" s="77" t="s">
        <v>1512</v>
      </c>
      <c r="R968" s="77">
        <v>0</v>
      </c>
      <c r="S968" s="77">
        <v>0</v>
      </c>
      <c r="T968" s="77">
        <v>0</v>
      </c>
      <c r="U968" s="77">
        <v>0</v>
      </c>
      <c r="V968" s="77">
        <v>35</v>
      </c>
      <c r="W968" s="82" t="s">
        <v>2095</v>
      </c>
      <c r="X968" s="77"/>
      <c r="Y968" s="77"/>
      <c r="Z968" s="77"/>
      <c r="AA968" s="77"/>
      <c r="AB968" s="77"/>
      <c r="AC968" s="82" t="s">
        <v>2720</v>
      </c>
      <c r="AD968" s="77" t="s">
        <v>2756</v>
      </c>
      <c r="AE968" s="80" t="str">
        <f>HYPERLINK("https://twitter.com/rafael__costa__/status/1626170531794780161")</f>
        <v>https://twitter.com/rafael__costa__/status/1626170531794780161</v>
      </c>
      <c r="AF968" s="79">
        <v>44973.447245370371</v>
      </c>
      <c r="AG968" s="85">
        <v>44973</v>
      </c>
      <c r="AH968" s="82" t="s">
        <v>3708</v>
      </c>
      <c r="AI968" s="77"/>
      <c r="AJ968" s="77"/>
      <c r="AK968" s="77"/>
      <c r="AL968" s="77"/>
      <c r="AM968" s="77"/>
      <c r="AN968" s="77"/>
      <c r="AO968" s="77"/>
      <c r="AP968" s="77"/>
      <c r="AQ968" s="77"/>
      <c r="AR968" s="77"/>
      <c r="AS968" s="77"/>
      <c r="AT968" s="77"/>
      <c r="AU968" s="77"/>
      <c r="AV968" s="80" t="str">
        <f>HYPERLINK("https://pbs.twimg.com/profile_images/1460727419829116929/1hfB_OTD_normal.jpg")</f>
        <v>https://pbs.twimg.com/profile_images/1460727419829116929/1hfB_OTD_normal.jpg</v>
      </c>
      <c r="AW968" s="82" t="s">
        <v>5299</v>
      </c>
      <c r="AX968" s="82" t="s">
        <v>5571</v>
      </c>
      <c r="AY968" s="82" t="s">
        <v>5613</v>
      </c>
      <c r="AZ968" s="82" t="s">
        <v>5841</v>
      </c>
      <c r="BA968" s="82" t="s">
        <v>5615</v>
      </c>
      <c r="BB968" s="82" t="s">
        <v>5615</v>
      </c>
      <c r="BC968" s="82" t="s">
        <v>5841</v>
      </c>
      <c r="BD968" s="82" t="s">
        <v>5613</v>
      </c>
      <c r="BE968" s="77"/>
      <c r="BF968" s="77"/>
      <c r="BG968" s="77"/>
      <c r="BH968" s="77"/>
      <c r="BI968" s="77"/>
    </row>
    <row r="969" spans="1:61" x14ac:dyDescent="0.25">
      <c r="A969" s="62" t="s">
        <v>551</v>
      </c>
      <c r="B969" s="62" t="s">
        <v>551</v>
      </c>
      <c r="C969" s="63"/>
      <c r="D969" s="64"/>
      <c r="E969" s="65"/>
      <c r="F969" s="66"/>
      <c r="G969" s="63"/>
      <c r="H969" s="67"/>
      <c r="I969" s="68"/>
      <c r="J969" s="68"/>
      <c r="K969" s="32"/>
      <c r="L969" s="75">
        <v>969</v>
      </c>
      <c r="M969" s="75"/>
      <c r="N969" s="70"/>
      <c r="O969" s="77" t="s">
        <v>583</v>
      </c>
      <c r="P969" s="79">
        <v>45127.445775462962</v>
      </c>
      <c r="Q969" s="77" t="s">
        <v>1513</v>
      </c>
      <c r="R969" s="77">
        <v>0</v>
      </c>
      <c r="S969" s="77">
        <v>0</v>
      </c>
      <c r="T969" s="77">
        <v>0</v>
      </c>
      <c r="U969" s="77">
        <v>0</v>
      </c>
      <c r="V969" s="77">
        <v>55</v>
      </c>
      <c r="W969" s="82" t="s">
        <v>2096</v>
      </c>
      <c r="X969" s="77"/>
      <c r="Y969" s="77"/>
      <c r="Z969" s="77"/>
      <c r="AA969" s="77"/>
      <c r="AB969" s="77"/>
      <c r="AC969" s="82" t="s">
        <v>2720</v>
      </c>
      <c r="AD969" s="77" t="s">
        <v>2756</v>
      </c>
      <c r="AE969" s="80" t="str">
        <f>HYPERLINK("https://twitter.com/rafael__costa__/status/1681977730710089728")</f>
        <v>https://twitter.com/rafael__costa__/status/1681977730710089728</v>
      </c>
      <c r="AF969" s="79">
        <v>45127.445775462962</v>
      </c>
      <c r="AG969" s="85">
        <v>45127</v>
      </c>
      <c r="AH969" s="82" t="s">
        <v>3709</v>
      </c>
      <c r="AI969" s="77"/>
      <c r="AJ969" s="77"/>
      <c r="AK969" s="77"/>
      <c r="AL969" s="77"/>
      <c r="AM969" s="77"/>
      <c r="AN969" s="77"/>
      <c r="AO969" s="77"/>
      <c r="AP969" s="77"/>
      <c r="AQ969" s="77"/>
      <c r="AR969" s="77"/>
      <c r="AS969" s="77"/>
      <c r="AT969" s="77"/>
      <c r="AU969" s="77"/>
      <c r="AV969" s="80" t="str">
        <f>HYPERLINK("https://pbs.twimg.com/profile_images/1460727419829116929/1hfB_OTD_normal.jpg")</f>
        <v>https://pbs.twimg.com/profile_images/1460727419829116929/1hfB_OTD_normal.jpg</v>
      </c>
      <c r="AW969" s="82" t="s">
        <v>5300</v>
      </c>
      <c r="AX969" s="82" t="s">
        <v>5572</v>
      </c>
      <c r="AY969" s="82" t="s">
        <v>5613</v>
      </c>
      <c r="AZ969" s="82" t="s">
        <v>5842</v>
      </c>
      <c r="BA969" s="82" t="s">
        <v>5615</v>
      </c>
      <c r="BB969" s="82" t="s">
        <v>5615</v>
      </c>
      <c r="BC969" s="82" t="s">
        <v>5842</v>
      </c>
      <c r="BD969" s="82" t="s">
        <v>5613</v>
      </c>
      <c r="BE969" s="77"/>
      <c r="BF969" s="77"/>
      <c r="BG969" s="77"/>
      <c r="BH969" s="77"/>
      <c r="BI969" s="77"/>
    </row>
    <row r="970" spans="1:61" x14ac:dyDescent="0.25">
      <c r="A970" s="62" t="s">
        <v>551</v>
      </c>
      <c r="B970" s="62" t="s">
        <v>551</v>
      </c>
      <c r="C970" s="63"/>
      <c r="D970" s="64"/>
      <c r="E970" s="65"/>
      <c r="F970" s="66"/>
      <c r="G970" s="63"/>
      <c r="H970" s="67"/>
      <c r="I970" s="68"/>
      <c r="J970" s="68"/>
      <c r="K970" s="32"/>
      <c r="L970" s="75">
        <v>970</v>
      </c>
      <c r="M970" s="75"/>
      <c r="N970" s="70"/>
      <c r="O970" s="77" t="s">
        <v>583</v>
      </c>
      <c r="P970" s="79">
        <v>45020.918993055559</v>
      </c>
      <c r="Q970" s="77" t="s">
        <v>1514</v>
      </c>
      <c r="R970" s="77">
        <v>0</v>
      </c>
      <c r="S970" s="77">
        <v>0</v>
      </c>
      <c r="T970" s="77">
        <v>0</v>
      </c>
      <c r="U970" s="77">
        <v>0</v>
      </c>
      <c r="V970" s="77">
        <v>122</v>
      </c>
      <c r="W970" s="82" t="s">
        <v>2097</v>
      </c>
      <c r="X970" s="77"/>
      <c r="Y970" s="77"/>
      <c r="Z970" s="77"/>
      <c r="AA970" s="77" t="s">
        <v>2692</v>
      </c>
      <c r="AB970" s="77" t="s">
        <v>2714</v>
      </c>
      <c r="AC970" s="82" t="s">
        <v>2720</v>
      </c>
      <c r="AD970" s="77" t="s">
        <v>2753</v>
      </c>
      <c r="AE970" s="80" t="str">
        <f>HYPERLINK("https://twitter.com/rafael__costa__/status/1643373717035048960")</f>
        <v>https://twitter.com/rafael__costa__/status/1643373717035048960</v>
      </c>
      <c r="AF970" s="79">
        <v>45020.918993055559</v>
      </c>
      <c r="AG970" s="85">
        <v>45020</v>
      </c>
      <c r="AH970" s="82" t="s">
        <v>3710</v>
      </c>
      <c r="AI970" s="77" t="b">
        <v>0</v>
      </c>
      <c r="AJ970" s="77"/>
      <c r="AK970" s="77"/>
      <c r="AL970" s="77"/>
      <c r="AM970" s="77"/>
      <c r="AN970" s="77"/>
      <c r="AO970" s="77"/>
      <c r="AP970" s="77"/>
      <c r="AQ970" s="77" t="s">
        <v>4318</v>
      </c>
      <c r="AR970" s="77"/>
      <c r="AS970" s="77"/>
      <c r="AT970" s="77"/>
      <c r="AU970" s="77"/>
      <c r="AV970" s="80" t="str">
        <f>HYPERLINK("https://pbs.twimg.com/media/Fs5vrp-XwAI5tOq.jpg")</f>
        <v>https://pbs.twimg.com/media/Fs5vrp-XwAI5tOq.jpg</v>
      </c>
      <c r="AW970" s="82" t="s">
        <v>5301</v>
      </c>
      <c r="AX970" s="82" t="s">
        <v>5573</v>
      </c>
      <c r="AY970" s="82" t="s">
        <v>5613</v>
      </c>
      <c r="AZ970" s="82" t="s">
        <v>5843</v>
      </c>
      <c r="BA970" s="82" t="s">
        <v>5615</v>
      </c>
      <c r="BB970" s="82" t="s">
        <v>5615</v>
      </c>
      <c r="BC970" s="82" t="s">
        <v>5843</v>
      </c>
      <c r="BD970" s="82" t="s">
        <v>5613</v>
      </c>
      <c r="BE970" s="77"/>
      <c r="BF970" s="77"/>
      <c r="BG970" s="77"/>
      <c r="BH970" s="77"/>
      <c r="BI970" s="77"/>
    </row>
    <row r="971" spans="1:61" x14ac:dyDescent="0.25">
      <c r="A971" s="62" t="s">
        <v>551</v>
      </c>
      <c r="B971" s="62" t="s">
        <v>551</v>
      </c>
      <c r="C971" s="63"/>
      <c r="D971" s="64"/>
      <c r="E971" s="65"/>
      <c r="F971" s="66"/>
      <c r="G971" s="63"/>
      <c r="H971" s="67"/>
      <c r="I971" s="68"/>
      <c r="J971" s="68"/>
      <c r="K971" s="32"/>
      <c r="L971" s="75">
        <v>971</v>
      </c>
      <c r="M971" s="75"/>
      <c r="N971" s="70"/>
      <c r="O971" s="77" t="s">
        <v>583</v>
      </c>
      <c r="P971" s="79">
        <v>44954.450486111113</v>
      </c>
      <c r="Q971" s="77" t="s">
        <v>1515</v>
      </c>
      <c r="R971" s="77">
        <v>0</v>
      </c>
      <c r="S971" s="77">
        <v>0</v>
      </c>
      <c r="T971" s="77">
        <v>1</v>
      </c>
      <c r="U971" s="77">
        <v>0</v>
      </c>
      <c r="V971" s="77">
        <v>26</v>
      </c>
      <c r="W971" s="82" t="s">
        <v>2098</v>
      </c>
      <c r="X971" s="77"/>
      <c r="Y971" s="77"/>
      <c r="Z971" s="77"/>
      <c r="AA971" s="77"/>
      <c r="AB971" s="77"/>
      <c r="AC971" s="82" t="s">
        <v>2720</v>
      </c>
      <c r="AD971" s="77" t="s">
        <v>2752</v>
      </c>
      <c r="AE971" s="80" t="str">
        <f>HYPERLINK("https://twitter.com/rafael__costa__/status/1619286337013829632")</f>
        <v>https://twitter.com/rafael__costa__/status/1619286337013829632</v>
      </c>
      <c r="AF971" s="79">
        <v>44954.450486111113</v>
      </c>
      <c r="AG971" s="85">
        <v>44954</v>
      </c>
      <c r="AH971" s="82" t="s">
        <v>3711</v>
      </c>
      <c r="AI971" s="77"/>
      <c r="AJ971" s="77"/>
      <c r="AK971" s="77"/>
      <c r="AL971" s="77"/>
      <c r="AM971" s="77"/>
      <c r="AN971" s="77"/>
      <c r="AO971" s="77"/>
      <c r="AP971" s="77"/>
      <c r="AQ971" s="77"/>
      <c r="AR971" s="77"/>
      <c r="AS971" s="77"/>
      <c r="AT971" s="77"/>
      <c r="AU971" s="77"/>
      <c r="AV971" s="80" t="str">
        <f>HYPERLINK("https://pbs.twimg.com/profile_images/1460727419829116929/1hfB_OTD_normal.jpg")</f>
        <v>https://pbs.twimg.com/profile_images/1460727419829116929/1hfB_OTD_normal.jpg</v>
      </c>
      <c r="AW971" s="82" t="s">
        <v>5302</v>
      </c>
      <c r="AX971" s="82" t="s">
        <v>5574</v>
      </c>
      <c r="AY971" s="82" t="s">
        <v>5613</v>
      </c>
      <c r="AZ971" s="82" t="s">
        <v>5844</v>
      </c>
      <c r="BA971" s="82" t="s">
        <v>5615</v>
      </c>
      <c r="BB971" s="82" t="s">
        <v>5615</v>
      </c>
      <c r="BC971" s="82" t="s">
        <v>5844</v>
      </c>
      <c r="BD971" s="82" t="s">
        <v>5613</v>
      </c>
      <c r="BE971" s="77"/>
      <c r="BF971" s="77"/>
      <c r="BG971" s="77"/>
      <c r="BH971" s="77"/>
      <c r="BI971" s="77"/>
    </row>
    <row r="972" spans="1:61" x14ac:dyDescent="0.25">
      <c r="A972" s="62" t="s">
        <v>551</v>
      </c>
      <c r="B972" s="62" t="s">
        <v>551</v>
      </c>
      <c r="C972" s="63"/>
      <c r="D972" s="64"/>
      <c r="E972" s="65"/>
      <c r="F972" s="66"/>
      <c r="G972" s="63"/>
      <c r="H972" s="67"/>
      <c r="I972" s="68"/>
      <c r="J972" s="68"/>
      <c r="K972" s="32"/>
      <c r="L972" s="75">
        <v>972</v>
      </c>
      <c r="M972" s="75"/>
      <c r="N972" s="70"/>
      <c r="O972" s="77" t="s">
        <v>583</v>
      </c>
      <c r="P972" s="79">
        <v>45161.351469907408</v>
      </c>
      <c r="Q972" s="77" t="s">
        <v>1509</v>
      </c>
      <c r="R972" s="77">
        <v>0</v>
      </c>
      <c r="S972" s="77">
        <v>0</v>
      </c>
      <c r="T972" s="77">
        <v>1</v>
      </c>
      <c r="U972" s="77">
        <v>0</v>
      </c>
      <c r="V972" s="77">
        <v>39</v>
      </c>
      <c r="W972" s="82" t="s">
        <v>2092</v>
      </c>
      <c r="X972" s="77"/>
      <c r="Y972" s="77"/>
      <c r="Z972" s="77"/>
      <c r="AA972" s="77"/>
      <c r="AB972" s="77"/>
      <c r="AC972" s="82" t="s">
        <v>2720</v>
      </c>
      <c r="AD972" s="77" t="s">
        <v>2752</v>
      </c>
      <c r="AE972" s="80" t="str">
        <f>HYPERLINK("https://twitter.com/rafael__costa__/status/1694264744893456871")</f>
        <v>https://twitter.com/rafael__costa__/status/1694264744893456871</v>
      </c>
      <c r="AF972" s="79">
        <v>45161.351469907408</v>
      </c>
      <c r="AG972" s="85">
        <v>45161</v>
      </c>
      <c r="AH972" s="82" t="s">
        <v>3712</v>
      </c>
      <c r="AI972" s="77"/>
      <c r="AJ972" s="77"/>
      <c r="AK972" s="77"/>
      <c r="AL972" s="77"/>
      <c r="AM972" s="77"/>
      <c r="AN972" s="77"/>
      <c r="AO972" s="77"/>
      <c r="AP972" s="77"/>
      <c r="AQ972" s="77"/>
      <c r="AR972" s="77"/>
      <c r="AS972" s="77"/>
      <c r="AT972" s="77"/>
      <c r="AU972" s="77"/>
      <c r="AV972" s="80" t="str">
        <f>HYPERLINK("https://pbs.twimg.com/profile_images/1460727419829116929/1hfB_OTD_normal.jpg")</f>
        <v>https://pbs.twimg.com/profile_images/1460727419829116929/1hfB_OTD_normal.jpg</v>
      </c>
      <c r="AW972" s="82" t="s">
        <v>5303</v>
      </c>
      <c r="AX972" s="82" t="s">
        <v>5575</v>
      </c>
      <c r="AY972" s="82" t="s">
        <v>5613</v>
      </c>
      <c r="AZ972" s="82" t="s">
        <v>5845</v>
      </c>
      <c r="BA972" s="82" t="s">
        <v>5615</v>
      </c>
      <c r="BB972" s="82" t="s">
        <v>5615</v>
      </c>
      <c r="BC972" s="82" t="s">
        <v>5845</v>
      </c>
      <c r="BD972" s="82" t="s">
        <v>5613</v>
      </c>
      <c r="BE972" s="77"/>
      <c r="BF972" s="77"/>
      <c r="BG972" s="77"/>
      <c r="BH972" s="77"/>
      <c r="BI972" s="77"/>
    </row>
    <row r="973" spans="1:61" x14ac:dyDescent="0.25">
      <c r="A973" s="62" t="s">
        <v>552</v>
      </c>
      <c r="B973" s="62" t="s">
        <v>552</v>
      </c>
      <c r="C973" s="63"/>
      <c r="D973" s="64"/>
      <c r="E973" s="65"/>
      <c r="F973" s="66"/>
      <c r="G973" s="63"/>
      <c r="H973" s="67"/>
      <c r="I973" s="68"/>
      <c r="J973" s="68"/>
      <c r="K973" s="32"/>
      <c r="L973" s="75">
        <v>973</v>
      </c>
      <c r="M973" s="75"/>
      <c r="N973" s="70"/>
      <c r="O973" s="77" t="s">
        <v>179</v>
      </c>
      <c r="P973" s="79">
        <v>45130.131689814814</v>
      </c>
      <c r="Q973" s="77" t="s">
        <v>1516</v>
      </c>
      <c r="R973" s="77">
        <v>0</v>
      </c>
      <c r="S973" s="77">
        <v>0</v>
      </c>
      <c r="T973" s="77">
        <v>0</v>
      </c>
      <c r="U973" s="77">
        <v>0</v>
      </c>
      <c r="V973" s="77">
        <v>15</v>
      </c>
      <c r="W973" s="82" t="s">
        <v>2099</v>
      </c>
      <c r="X973" s="80" t="str">
        <f>HYPERLINK("https://pay.kiwify.com.br/1eKuUje")</f>
        <v>https://pay.kiwify.com.br/1eKuUje</v>
      </c>
      <c r="Y973" s="77" t="s">
        <v>2129</v>
      </c>
      <c r="Z973" s="77"/>
      <c r="AA973" s="77" t="s">
        <v>2693</v>
      </c>
      <c r="AB973" s="77" t="s">
        <v>2714</v>
      </c>
      <c r="AC973" s="82" t="s">
        <v>2722</v>
      </c>
      <c r="AD973" s="77" t="s">
        <v>2752</v>
      </c>
      <c r="AE973" s="80" t="str">
        <f>HYPERLINK("https://twitter.com/bianobk1bianobk/status/1682951074930638848")</f>
        <v>https://twitter.com/bianobk1bianobk/status/1682951074930638848</v>
      </c>
      <c r="AF973" s="79">
        <v>45130.131689814814</v>
      </c>
      <c r="AG973" s="85">
        <v>45130</v>
      </c>
      <c r="AH973" s="82" t="s">
        <v>3713</v>
      </c>
      <c r="AI973" s="77" t="b">
        <v>0</v>
      </c>
      <c r="AJ973" s="77"/>
      <c r="AK973" s="77"/>
      <c r="AL973" s="77"/>
      <c r="AM973" s="77"/>
      <c r="AN973" s="77"/>
      <c r="AO973" s="77"/>
      <c r="AP973" s="77"/>
      <c r="AQ973" s="77" t="s">
        <v>4319</v>
      </c>
      <c r="AR973" s="77"/>
      <c r="AS973" s="77"/>
      <c r="AT973" s="77"/>
      <c r="AU973" s="77"/>
      <c r="AV973" s="80" t="str">
        <f>HYPERLINK("https://pbs.twimg.com/media/F1sK2xXXgAA9XMd.jpg")</f>
        <v>https://pbs.twimg.com/media/F1sK2xXXgAA9XMd.jpg</v>
      </c>
      <c r="AW973" s="82" t="s">
        <v>5304</v>
      </c>
      <c r="AX973" s="82" t="s">
        <v>5304</v>
      </c>
      <c r="AY973" s="77"/>
      <c r="AZ973" s="82" t="s">
        <v>5615</v>
      </c>
      <c r="BA973" s="82" t="s">
        <v>5615</v>
      </c>
      <c r="BB973" s="82" t="s">
        <v>5615</v>
      </c>
      <c r="BC973" s="82" t="s">
        <v>5304</v>
      </c>
      <c r="BD973" s="82" t="s">
        <v>6086</v>
      </c>
      <c r="BE973" s="77"/>
      <c r="BF973" s="77"/>
      <c r="BG973" s="77"/>
      <c r="BH973" s="77"/>
      <c r="BI973" s="77"/>
    </row>
    <row r="974" spans="1:61" x14ac:dyDescent="0.25">
      <c r="A974" s="62" t="s">
        <v>552</v>
      </c>
      <c r="B974" s="62" t="s">
        <v>552</v>
      </c>
      <c r="C974" s="63"/>
      <c r="D974" s="64"/>
      <c r="E974" s="65"/>
      <c r="F974" s="66"/>
      <c r="G974" s="63"/>
      <c r="H974" s="67"/>
      <c r="I974" s="68"/>
      <c r="J974" s="68"/>
      <c r="K974" s="32"/>
      <c r="L974" s="75">
        <v>974</v>
      </c>
      <c r="M974" s="75"/>
      <c r="N974" s="70"/>
      <c r="O974" s="77" t="s">
        <v>179</v>
      </c>
      <c r="P974" s="79">
        <v>45130.100740740738</v>
      </c>
      <c r="Q974" s="77" t="s">
        <v>1517</v>
      </c>
      <c r="R974" s="77">
        <v>0</v>
      </c>
      <c r="S974" s="77">
        <v>0</v>
      </c>
      <c r="T974" s="77">
        <v>0</v>
      </c>
      <c r="U974" s="77">
        <v>0</v>
      </c>
      <c r="V974" s="77">
        <v>8</v>
      </c>
      <c r="W974" s="82" t="s">
        <v>2100</v>
      </c>
      <c r="X974" s="80" t="str">
        <f>HYPERLINK("https://pay.kiwify.com.br/1eKuUje")</f>
        <v>https://pay.kiwify.com.br/1eKuUje</v>
      </c>
      <c r="Y974" s="77" t="s">
        <v>2129</v>
      </c>
      <c r="Z974" s="77"/>
      <c r="AA974" s="77" t="s">
        <v>2694</v>
      </c>
      <c r="AB974" s="77" t="s">
        <v>2714</v>
      </c>
      <c r="AC974" s="82" t="s">
        <v>2722</v>
      </c>
      <c r="AD974" s="77" t="s">
        <v>2752</v>
      </c>
      <c r="AE974" s="80" t="str">
        <f>HYPERLINK("https://twitter.com/bianobk1bianobk/status/1682939860741660677")</f>
        <v>https://twitter.com/bianobk1bianobk/status/1682939860741660677</v>
      </c>
      <c r="AF974" s="79">
        <v>45130.100740740738</v>
      </c>
      <c r="AG974" s="85">
        <v>45130</v>
      </c>
      <c r="AH974" s="82" t="s">
        <v>3714</v>
      </c>
      <c r="AI974" s="77" t="b">
        <v>0</v>
      </c>
      <c r="AJ974" s="77"/>
      <c r="AK974" s="77"/>
      <c r="AL974" s="77"/>
      <c r="AM974" s="77"/>
      <c r="AN974" s="77"/>
      <c r="AO974" s="77"/>
      <c r="AP974" s="77"/>
      <c r="AQ974" s="77" t="s">
        <v>4320</v>
      </c>
      <c r="AR974" s="77"/>
      <c r="AS974" s="77"/>
      <c r="AT974" s="77"/>
      <c r="AU974" s="77"/>
      <c r="AV974" s="80" t="str">
        <f>HYPERLINK("https://pbs.twimg.com/media/F1sAacGX0AEMn_0.jpg")</f>
        <v>https://pbs.twimg.com/media/F1sAacGX0AEMn_0.jpg</v>
      </c>
      <c r="AW974" s="82" t="s">
        <v>5305</v>
      </c>
      <c r="AX974" s="82" t="s">
        <v>5305</v>
      </c>
      <c r="AY974" s="77"/>
      <c r="AZ974" s="82" t="s">
        <v>5615</v>
      </c>
      <c r="BA974" s="82" t="s">
        <v>5615</v>
      </c>
      <c r="BB974" s="82" t="s">
        <v>5615</v>
      </c>
      <c r="BC974" s="82" t="s">
        <v>5305</v>
      </c>
      <c r="BD974" s="82" t="s">
        <v>6086</v>
      </c>
      <c r="BE974" s="77"/>
      <c r="BF974" s="77"/>
      <c r="BG974" s="77"/>
      <c r="BH974" s="77"/>
      <c r="BI974" s="77"/>
    </row>
    <row r="975" spans="1:61" x14ac:dyDescent="0.25">
      <c r="A975" s="62" t="s">
        <v>552</v>
      </c>
      <c r="B975" s="62" t="s">
        <v>552</v>
      </c>
      <c r="C975" s="63"/>
      <c r="D975" s="64"/>
      <c r="E975" s="65"/>
      <c r="F975" s="66"/>
      <c r="G975" s="63"/>
      <c r="H975" s="67"/>
      <c r="I975" s="68"/>
      <c r="J975" s="68"/>
      <c r="K975" s="32"/>
      <c r="L975" s="75">
        <v>975</v>
      </c>
      <c r="M975" s="75"/>
      <c r="N975" s="70"/>
      <c r="O975" s="77" t="s">
        <v>179</v>
      </c>
      <c r="P975" s="79">
        <v>45132.09815972222</v>
      </c>
      <c r="Q975" s="77" t="s">
        <v>1518</v>
      </c>
      <c r="R975" s="77">
        <v>0</v>
      </c>
      <c r="S975" s="77">
        <v>0</v>
      </c>
      <c r="T975" s="77">
        <v>0</v>
      </c>
      <c r="U975" s="77">
        <v>0</v>
      </c>
      <c r="V975" s="77">
        <v>9</v>
      </c>
      <c r="W975" s="82" t="s">
        <v>2101</v>
      </c>
      <c r="X975" s="77"/>
      <c r="Y975" s="77"/>
      <c r="Z975" s="77"/>
      <c r="AA975" s="77" t="s">
        <v>2695</v>
      </c>
      <c r="AB975" s="77" t="s">
        <v>2714</v>
      </c>
      <c r="AC975" s="82" t="s">
        <v>2722</v>
      </c>
      <c r="AD975" s="77" t="s">
        <v>2752</v>
      </c>
      <c r="AE975" s="80" t="str">
        <f>HYPERLINK("https://twitter.com/bianobk1bianobk/status/1683663699024678913")</f>
        <v>https://twitter.com/bianobk1bianobk/status/1683663699024678913</v>
      </c>
      <c r="AF975" s="79">
        <v>45132.09815972222</v>
      </c>
      <c r="AG975" s="85">
        <v>45132</v>
      </c>
      <c r="AH975" s="82" t="s">
        <v>3715</v>
      </c>
      <c r="AI975" s="77" t="b">
        <v>0</v>
      </c>
      <c r="AJ975" s="77"/>
      <c r="AK975" s="77"/>
      <c r="AL975" s="77"/>
      <c r="AM975" s="77"/>
      <c r="AN975" s="77"/>
      <c r="AO975" s="77"/>
      <c r="AP975" s="77"/>
      <c r="AQ975" s="77" t="s">
        <v>4321</v>
      </c>
      <c r="AR975" s="77"/>
      <c r="AS975" s="77"/>
      <c r="AT975" s="77"/>
      <c r="AU975" s="77"/>
      <c r="AV975" s="80" t="str">
        <f>HYPERLINK("https://pbs.twimg.com/media/F12Sl3wXwAAjRBP.jpg")</f>
        <v>https://pbs.twimg.com/media/F12Sl3wXwAAjRBP.jpg</v>
      </c>
      <c r="AW975" s="82" t="s">
        <v>5306</v>
      </c>
      <c r="AX975" s="82" t="s">
        <v>5306</v>
      </c>
      <c r="AY975" s="77"/>
      <c r="AZ975" s="82" t="s">
        <v>5615</v>
      </c>
      <c r="BA975" s="82" t="s">
        <v>5615</v>
      </c>
      <c r="BB975" s="82" t="s">
        <v>5615</v>
      </c>
      <c r="BC975" s="82" t="s">
        <v>5306</v>
      </c>
      <c r="BD975" s="82" t="s">
        <v>6086</v>
      </c>
      <c r="BE975" s="77"/>
      <c r="BF975" s="77"/>
      <c r="BG975" s="77"/>
      <c r="BH975" s="77"/>
      <c r="BI975" s="77"/>
    </row>
    <row r="976" spans="1:61" x14ac:dyDescent="0.25">
      <c r="A976" s="62" t="s">
        <v>552</v>
      </c>
      <c r="B976" s="62" t="s">
        <v>552</v>
      </c>
      <c r="C976" s="63"/>
      <c r="D976" s="64"/>
      <c r="E976" s="65"/>
      <c r="F976" s="66"/>
      <c r="G976" s="63"/>
      <c r="H976" s="67"/>
      <c r="I976" s="68"/>
      <c r="J976" s="68"/>
      <c r="K976" s="32"/>
      <c r="L976" s="75">
        <v>976</v>
      </c>
      <c r="M976" s="75"/>
      <c r="N976" s="70"/>
      <c r="O976" s="77" t="s">
        <v>179</v>
      </c>
      <c r="P976" s="79">
        <v>45130.070902777778</v>
      </c>
      <c r="Q976" s="77" t="s">
        <v>1519</v>
      </c>
      <c r="R976" s="77">
        <v>0</v>
      </c>
      <c r="S976" s="77">
        <v>0</v>
      </c>
      <c r="T976" s="77">
        <v>0</v>
      </c>
      <c r="U976" s="77">
        <v>0</v>
      </c>
      <c r="V976" s="77">
        <v>11</v>
      </c>
      <c r="W976" s="82" t="s">
        <v>2102</v>
      </c>
      <c r="X976" s="77"/>
      <c r="Y976" s="77"/>
      <c r="Z976" s="77"/>
      <c r="AA976" s="77" t="s">
        <v>2696</v>
      </c>
      <c r="AB976" s="77" t="s">
        <v>2714</v>
      </c>
      <c r="AC976" s="82" t="s">
        <v>2722</v>
      </c>
      <c r="AD976" s="77" t="s">
        <v>2752</v>
      </c>
      <c r="AE976" s="80" t="str">
        <f>HYPERLINK("https://twitter.com/bianobk1bianobk/status/1682929047502725121")</f>
        <v>https://twitter.com/bianobk1bianobk/status/1682929047502725121</v>
      </c>
      <c r="AF976" s="79">
        <v>45130.070902777778</v>
      </c>
      <c r="AG976" s="85">
        <v>45130</v>
      </c>
      <c r="AH976" s="82" t="s">
        <v>3716</v>
      </c>
      <c r="AI976" s="77" t="b">
        <v>0</v>
      </c>
      <c r="AJ976" s="77"/>
      <c r="AK976" s="77"/>
      <c r="AL976" s="77"/>
      <c r="AM976" s="77"/>
      <c r="AN976" s="77"/>
      <c r="AO976" s="77"/>
      <c r="AP976" s="77"/>
      <c r="AQ976" s="77" t="s">
        <v>4322</v>
      </c>
      <c r="AR976" s="77"/>
      <c r="AS976" s="77"/>
      <c r="AT976" s="77"/>
      <c r="AU976" s="77"/>
      <c r="AV976" s="80" t="str">
        <f>HYPERLINK("https://pbs.twimg.com/media/F1r2rZ6X0AA6I_b.jpg")</f>
        <v>https://pbs.twimg.com/media/F1r2rZ6X0AA6I_b.jpg</v>
      </c>
      <c r="AW976" s="82" t="s">
        <v>5307</v>
      </c>
      <c r="AX976" s="82" t="s">
        <v>5307</v>
      </c>
      <c r="AY976" s="77"/>
      <c r="AZ976" s="82" t="s">
        <v>5615</v>
      </c>
      <c r="BA976" s="82" t="s">
        <v>5615</v>
      </c>
      <c r="BB976" s="82" t="s">
        <v>5615</v>
      </c>
      <c r="BC976" s="82" t="s">
        <v>5307</v>
      </c>
      <c r="BD976" s="82" t="s">
        <v>6086</v>
      </c>
      <c r="BE976" s="77"/>
      <c r="BF976" s="77"/>
      <c r="BG976" s="77"/>
      <c r="BH976" s="77"/>
      <c r="BI976" s="77"/>
    </row>
    <row r="977" spans="1:61" x14ac:dyDescent="0.25">
      <c r="A977" s="62" t="s">
        <v>553</v>
      </c>
      <c r="B977" s="62" t="s">
        <v>553</v>
      </c>
      <c r="C977" s="63"/>
      <c r="D977" s="64"/>
      <c r="E977" s="65"/>
      <c r="F977" s="66"/>
      <c r="G977" s="63"/>
      <c r="H977" s="67"/>
      <c r="I977" s="68"/>
      <c r="J977" s="68"/>
      <c r="K977" s="32"/>
      <c r="L977" s="75">
        <v>977</v>
      </c>
      <c r="M977" s="75"/>
      <c r="N977" s="70"/>
      <c r="O977" s="77" t="s">
        <v>179</v>
      </c>
      <c r="P977" s="79">
        <v>44939.574699074074</v>
      </c>
      <c r="Q977" s="77" t="s">
        <v>1520</v>
      </c>
      <c r="R977" s="77">
        <v>1</v>
      </c>
      <c r="S977" s="77">
        <v>1</v>
      </c>
      <c r="T977" s="77">
        <v>0</v>
      </c>
      <c r="U977" s="77">
        <v>0</v>
      </c>
      <c r="V977" s="77">
        <v>109</v>
      </c>
      <c r="W977" s="82" t="s">
        <v>2103</v>
      </c>
      <c r="X977" s="80" t="str">
        <f>HYPERLINK("https://byebnk.com")</f>
        <v>https://byebnk.com</v>
      </c>
      <c r="Y977" s="77" t="s">
        <v>2178</v>
      </c>
      <c r="Z977" s="77"/>
      <c r="AA977" s="77" t="s">
        <v>2697</v>
      </c>
      <c r="AB977" s="77" t="s">
        <v>2714</v>
      </c>
      <c r="AC977" s="82" t="s">
        <v>2719</v>
      </c>
      <c r="AD977" s="77" t="s">
        <v>2752</v>
      </c>
      <c r="AE977" s="80" t="str">
        <f>HYPERLINK("https://twitter.com/byebnk/status/1613895533403463681")</f>
        <v>https://twitter.com/byebnk/status/1613895533403463681</v>
      </c>
      <c r="AF977" s="79">
        <v>44939.574699074074</v>
      </c>
      <c r="AG977" s="85">
        <v>44939</v>
      </c>
      <c r="AH977" s="82" t="s">
        <v>3717</v>
      </c>
      <c r="AI977" s="77" t="b">
        <v>0</v>
      </c>
      <c r="AJ977" s="77"/>
      <c r="AK977" s="77"/>
      <c r="AL977" s="77"/>
      <c r="AM977" s="77"/>
      <c r="AN977" s="77"/>
      <c r="AO977" s="77"/>
      <c r="AP977" s="77"/>
      <c r="AQ977" s="77" t="s">
        <v>4323</v>
      </c>
      <c r="AR977" s="77"/>
      <c r="AS977" s="77"/>
      <c r="AT977" s="77"/>
      <c r="AU977" s="77"/>
      <c r="AV977" s="80" t="str">
        <f>HYPERLINK("https://pbs.twimg.com/media/FmW1b0HWQAI5iCk.jpg")</f>
        <v>https://pbs.twimg.com/media/FmW1b0HWQAI5iCk.jpg</v>
      </c>
      <c r="AW977" s="82" t="s">
        <v>5308</v>
      </c>
      <c r="AX977" s="82" t="s">
        <v>5308</v>
      </c>
      <c r="AY977" s="77"/>
      <c r="AZ977" s="82" t="s">
        <v>5615</v>
      </c>
      <c r="BA977" s="82" t="s">
        <v>5615</v>
      </c>
      <c r="BB977" s="82" t="s">
        <v>5615</v>
      </c>
      <c r="BC977" s="82" t="s">
        <v>5308</v>
      </c>
      <c r="BD977" s="82" t="s">
        <v>6087</v>
      </c>
      <c r="BE977" s="77"/>
      <c r="BF977" s="77"/>
      <c r="BG977" s="77"/>
      <c r="BH977" s="77"/>
      <c r="BI977" s="77"/>
    </row>
    <row r="978" spans="1:61" x14ac:dyDescent="0.25">
      <c r="A978" s="62" t="s">
        <v>553</v>
      </c>
      <c r="B978" s="62" t="s">
        <v>553</v>
      </c>
      <c r="C978" s="63"/>
      <c r="D978" s="64"/>
      <c r="E978" s="65"/>
      <c r="F978" s="66"/>
      <c r="G978" s="63"/>
      <c r="H978" s="67"/>
      <c r="I978" s="68"/>
      <c r="J978" s="68"/>
      <c r="K978" s="32"/>
      <c r="L978" s="75">
        <v>978</v>
      </c>
      <c r="M978" s="75"/>
      <c r="N978" s="70"/>
      <c r="O978" s="77" t="s">
        <v>179</v>
      </c>
      <c r="P978" s="79">
        <v>44937.778726851851</v>
      </c>
      <c r="Q978" s="77" t="s">
        <v>1521</v>
      </c>
      <c r="R978" s="77">
        <v>1</v>
      </c>
      <c r="S978" s="77">
        <v>1</v>
      </c>
      <c r="T978" s="77">
        <v>0</v>
      </c>
      <c r="U978" s="77">
        <v>0</v>
      </c>
      <c r="V978" s="77">
        <v>47</v>
      </c>
      <c r="W978" s="82" t="s">
        <v>2104</v>
      </c>
      <c r="X978" s="80" t="str">
        <f>HYPERLINK("http://wa.me/5531999496159")</f>
        <v>http://wa.me/5531999496159</v>
      </c>
      <c r="Y978" s="77" t="s">
        <v>2179</v>
      </c>
      <c r="Z978" s="77"/>
      <c r="AA978" s="77" t="s">
        <v>2698</v>
      </c>
      <c r="AB978" s="77" t="s">
        <v>2713</v>
      </c>
      <c r="AC978" s="82" t="s">
        <v>2719</v>
      </c>
      <c r="AD978" s="77" t="s">
        <v>2752</v>
      </c>
      <c r="AE978" s="80" t="str">
        <f>HYPERLINK("https://twitter.com/byebnk/status/1613244692770033665")</f>
        <v>https://twitter.com/byebnk/status/1613244692770033665</v>
      </c>
      <c r="AF978" s="79">
        <v>44937.778726851851</v>
      </c>
      <c r="AG978" s="85">
        <v>44937</v>
      </c>
      <c r="AH978" s="82" t="s">
        <v>3718</v>
      </c>
      <c r="AI978" s="77" t="b">
        <v>0</v>
      </c>
      <c r="AJ978" s="77"/>
      <c r="AK978" s="77"/>
      <c r="AL978" s="77"/>
      <c r="AM978" s="77"/>
      <c r="AN978" s="77"/>
      <c r="AO978" s="77"/>
      <c r="AP978" s="77"/>
      <c r="AQ978" s="77" t="s">
        <v>4324</v>
      </c>
      <c r="AR978" s="77">
        <v>57141</v>
      </c>
      <c r="AS978" s="77"/>
      <c r="AT978" s="77"/>
      <c r="AU978" s="77"/>
      <c r="AV978" s="80" t="str">
        <f>HYPERLINK("https://pbs.twimg.com/ext_tw_video_thumb/1613244604895358976/pu/img/uy6iMaUE1hBQBLCc.jpg")</f>
        <v>https://pbs.twimg.com/ext_tw_video_thumb/1613244604895358976/pu/img/uy6iMaUE1hBQBLCc.jpg</v>
      </c>
      <c r="AW978" s="82" t="s">
        <v>5309</v>
      </c>
      <c r="AX978" s="82" t="s">
        <v>5309</v>
      </c>
      <c r="AY978" s="77"/>
      <c r="AZ978" s="82" t="s">
        <v>5615</v>
      </c>
      <c r="BA978" s="82" t="s">
        <v>5615</v>
      </c>
      <c r="BB978" s="82" t="s">
        <v>5615</v>
      </c>
      <c r="BC978" s="82" t="s">
        <v>5309</v>
      </c>
      <c r="BD978" s="82" t="s">
        <v>6087</v>
      </c>
      <c r="BE978" s="77"/>
      <c r="BF978" s="77"/>
      <c r="BG978" s="77"/>
      <c r="BH978" s="77"/>
      <c r="BI978" s="77"/>
    </row>
    <row r="979" spans="1:61" x14ac:dyDescent="0.25">
      <c r="A979" s="62" t="s">
        <v>554</v>
      </c>
      <c r="B979" s="62" t="s">
        <v>554</v>
      </c>
      <c r="C979" s="63"/>
      <c r="D979" s="64"/>
      <c r="E979" s="65"/>
      <c r="F979" s="66"/>
      <c r="G979" s="63"/>
      <c r="H979" s="67"/>
      <c r="I979" s="68"/>
      <c r="J979" s="68"/>
      <c r="K979" s="32"/>
      <c r="L979" s="75">
        <v>979</v>
      </c>
      <c r="M979" s="75"/>
      <c r="N979" s="70"/>
      <c r="O979" s="77" t="s">
        <v>179</v>
      </c>
      <c r="P979" s="79">
        <v>45031.543240740742</v>
      </c>
      <c r="Q979" s="77" t="s">
        <v>1522</v>
      </c>
      <c r="R979" s="77">
        <v>19</v>
      </c>
      <c r="S979" s="77">
        <v>39</v>
      </c>
      <c r="T979" s="77">
        <v>3</v>
      </c>
      <c r="U979" s="77">
        <v>1</v>
      </c>
      <c r="V979" s="77">
        <v>674</v>
      </c>
      <c r="W979" s="82" t="s">
        <v>2105</v>
      </c>
      <c r="X979" s="77"/>
      <c r="Y979" s="77"/>
      <c r="Z979" s="77"/>
      <c r="AA979" s="77" t="s">
        <v>2699</v>
      </c>
      <c r="AB979" s="77" t="s">
        <v>2713</v>
      </c>
      <c r="AC979" s="82" t="s">
        <v>2719</v>
      </c>
      <c r="AD979" s="77" t="s">
        <v>2752</v>
      </c>
      <c r="AE979" s="80" t="str">
        <f>HYPERLINK("https://twitter.com/arrcanjjo/status/1647223816202907648")</f>
        <v>https://twitter.com/arrcanjjo/status/1647223816202907648</v>
      </c>
      <c r="AF979" s="79">
        <v>45031.543240740742</v>
      </c>
      <c r="AG979" s="85">
        <v>45031</v>
      </c>
      <c r="AH979" s="82" t="s">
        <v>3719</v>
      </c>
      <c r="AI979" s="77" t="b">
        <v>0</v>
      </c>
      <c r="AJ979" s="77"/>
      <c r="AK979" s="77"/>
      <c r="AL979" s="77"/>
      <c r="AM979" s="77"/>
      <c r="AN979" s="77"/>
      <c r="AO979" s="77"/>
      <c r="AP979" s="77"/>
      <c r="AQ979" s="77" t="s">
        <v>4325</v>
      </c>
      <c r="AR979" s="77">
        <v>48203</v>
      </c>
      <c r="AS979" s="77"/>
      <c r="AT979" s="77"/>
      <c r="AU979" s="77"/>
      <c r="AV979" s="80" t="str">
        <f>HYPERLINK("https://pbs.twimg.com/ext_tw_video_thumb/1647223726541291526/pu/img/pYN23xPZW2L3Whw7.jpg")</f>
        <v>https://pbs.twimg.com/ext_tw_video_thumb/1647223726541291526/pu/img/pYN23xPZW2L3Whw7.jpg</v>
      </c>
      <c r="AW979" s="82" t="s">
        <v>5310</v>
      </c>
      <c r="AX979" s="82" t="s">
        <v>5310</v>
      </c>
      <c r="AY979" s="77"/>
      <c r="AZ979" s="82" t="s">
        <v>5615</v>
      </c>
      <c r="BA979" s="82" t="s">
        <v>5615</v>
      </c>
      <c r="BB979" s="82" t="s">
        <v>5615</v>
      </c>
      <c r="BC979" s="82" t="s">
        <v>5310</v>
      </c>
      <c r="BD979" s="77">
        <v>86962550</v>
      </c>
      <c r="BE979" s="77"/>
      <c r="BF979" s="77"/>
      <c r="BG979" s="77"/>
      <c r="BH979" s="77"/>
      <c r="BI979" s="77"/>
    </row>
    <row r="980" spans="1:61" x14ac:dyDescent="0.25">
      <c r="A980" s="62" t="s">
        <v>555</v>
      </c>
      <c r="B980" s="62" t="s">
        <v>555</v>
      </c>
      <c r="C980" s="63"/>
      <c r="D980" s="64"/>
      <c r="E980" s="65"/>
      <c r="F980" s="66"/>
      <c r="G980" s="63"/>
      <c r="H980" s="67"/>
      <c r="I980" s="68"/>
      <c r="J980" s="68"/>
      <c r="K980" s="32"/>
      <c r="L980" s="75">
        <v>980</v>
      </c>
      <c r="M980" s="75"/>
      <c r="N980" s="70"/>
      <c r="O980" s="77" t="s">
        <v>583</v>
      </c>
      <c r="P980" s="79">
        <v>44968.839062500003</v>
      </c>
      <c r="Q980" s="77" t="s">
        <v>1523</v>
      </c>
      <c r="R980" s="77">
        <v>0</v>
      </c>
      <c r="S980" s="77">
        <v>3</v>
      </c>
      <c r="T980" s="77">
        <v>0</v>
      </c>
      <c r="U980" s="77">
        <v>0</v>
      </c>
      <c r="V980" s="77">
        <v>321</v>
      </c>
      <c r="W980" s="82" t="s">
        <v>2106</v>
      </c>
      <c r="X980" s="77"/>
      <c r="Y980" s="77"/>
      <c r="Z980" s="77"/>
      <c r="AA980" s="77"/>
      <c r="AB980" s="77"/>
      <c r="AC980" s="82" t="s">
        <v>2720</v>
      </c>
      <c r="AD980" s="77" t="s">
        <v>2752</v>
      </c>
      <c r="AE980" s="80" t="str">
        <f>HYPERLINK("https://twitter.com/andreynousi/status/1624500583884267520")</f>
        <v>https://twitter.com/andreynousi/status/1624500583884267520</v>
      </c>
      <c r="AF980" s="79">
        <v>44968.839062500003</v>
      </c>
      <c r="AG980" s="85">
        <v>44968</v>
      </c>
      <c r="AH980" s="82" t="s">
        <v>3720</v>
      </c>
      <c r="AI980" s="77"/>
      <c r="AJ980" s="77"/>
      <c r="AK980" s="77"/>
      <c r="AL980" s="77"/>
      <c r="AM980" s="77"/>
      <c r="AN980" s="77"/>
      <c r="AO980" s="77"/>
      <c r="AP980" s="77"/>
      <c r="AQ980" s="77"/>
      <c r="AR980" s="77"/>
      <c r="AS980" s="77"/>
      <c r="AT980" s="77"/>
      <c r="AU980" s="77"/>
      <c r="AV980" s="80" t="str">
        <f>HYPERLINK("https://pbs.twimg.com/profile_images/1394560389283733504/fXVSfDJN_normal.jpg")</f>
        <v>https://pbs.twimg.com/profile_images/1394560389283733504/fXVSfDJN_normal.jpg</v>
      </c>
      <c r="AW980" s="82" t="s">
        <v>5311</v>
      </c>
      <c r="AX980" s="82" t="s">
        <v>5576</v>
      </c>
      <c r="AY980" s="82" t="s">
        <v>5614</v>
      </c>
      <c r="AZ980" s="82" t="s">
        <v>5846</v>
      </c>
      <c r="BA980" s="82" t="s">
        <v>5615</v>
      </c>
      <c r="BB980" s="82" t="s">
        <v>5615</v>
      </c>
      <c r="BC980" s="82" t="s">
        <v>5846</v>
      </c>
      <c r="BD980" s="82" t="s">
        <v>5614</v>
      </c>
      <c r="BE980" s="77"/>
      <c r="BF980" s="77"/>
      <c r="BG980" s="77"/>
      <c r="BH980" s="77"/>
      <c r="BI980" s="77"/>
    </row>
    <row r="981" spans="1:61" x14ac:dyDescent="0.25">
      <c r="A981" s="62" t="s">
        <v>556</v>
      </c>
      <c r="B981" s="62" t="s">
        <v>556</v>
      </c>
      <c r="C981" s="63"/>
      <c r="D981" s="64"/>
      <c r="E981" s="65"/>
      <c r="F981" s="66"/>
      <c r="G981" s="63"/>
      <c r="H981" s="67"/>
      <c r="I981" s="68"/>
      <c r="J981" s="68"/>
      <c r="K981" s="32"/>
      <c r="L981" s="75">
        <v>981</v>
      </c>
      <c r="M981" s="75"/>
      <c r="N981" s="70"/>
      <c r="O981" s="77" t="s">
        <v>179</v>
      </c>
      <c r="P981" s="79">
        <v>45091.164050925923</v>
      </c>
      <c r="Q981" s="77" t="s">
        <v>1524</v>
      </c>
      <c r="R981" s="77">
        <v>0</v>
      </c>
      <c r="S981" s="77">
        <v>0</v>
      </c>
      <c r="T981" s="77">
        <v>0</v>
      </c>
      <c r="U981" s="77">
        <v>0</v>
      </c>
      <c r="V981" s="77">
        <v>178</v>
      </c>
      <c r="W981" s="82" t="s">
        <v>2107</v>
      </c>
      <c r="X981" s="80" t="str">
        <f>HYPERLINK("https://linktr.ee/estantevirtuall")</f>
        <v>https://linktr.ee/estantevirtuall</v>
      </c>
      <c r="Y981" s="77" t="s">
        <v>2164</v>
      </c>
      <c r="Z981" s="77"/>
      <c r="AA981" s="77" t="s">
        <v>2700</v>
      </c>
      <c r="AB981" s="77" t="s">
        <v>2713</v>
      </c>
      <c r="AC981" s="82" t="s">
        <v>2719</v>
      </c>
      <c r="AD981" s="77" t="s">
        <v>2752</v>
      </c>
      <c r="AE981" s="80" t="str">
        <f>HYPERLINK("https://twitter.com/estantevirtuall/status/1668829673797697538")</f>
        <v>https://twitter.com/estantevirtuall/status/1668829673797697538</v>
      </c>
      <c r="AF981" s="79">
        <v>45091.164050925923</v>
      </c>
      <c r="AG981" s="85">
        <v>45091</v>
      </c>
      <c r="AH981" s="82" t="s">
        <v>3721</v>
      </c>
      <c r="AI981" s="77" t="b">
        <v>0</v>
      </c>
      <c r="AJ981" s="77"/>
      <c r="AK981" s="77"/>
      <c r="AL981" s="77"/>
      <c r="AM981" s="77"/>
      <c r="AN981" s="77"/>
      <c r="AO981" s="77"/>
      <c r="AP981" s="77"/>
      <c r="AQ981" s="77" t="s">
        <v>4326</v>
      </c>
      <c r="AR981" s="77">
        <v>16000</v>
      </c>
      <c r="AS981" s="77"/>
      <c r="AT981" s="77"/>
      <c r="AU981" s="77"/>
      <c r="AV981" s="80" t="str">
        <f>HYPERLINK("https://pbs.twimg.com/ext_tw_video_thumb/1668829641300230144/pu/img/KPKbcSt2I07P5njy.jpg")</f>
        <v>https://pbs.twimg.com/ext_tw_video_thumb/1668829641300230144/pu/img/KPKbcSt2I07P5njy.jpg</v>
      </c>
      <c r="AW981" s="82" t="s">
        <v>5312</v>
      </c>
      <c r="AX981" s="82" t="s">
        <v>5312</v>
      </c>
      <c r="AY981" s="77"/>
      <c r="AZ981" s="82" t="s">
        <v>5615</v>
      </c>
      <c r="BA981" s="82" t="s">
        <v>5615</v>
      </c>
      <c r="BB981" s="82" t="s">
        <v>5615</v>
      </c>
      <c r="BC981" s="82" t="s">
        <v>5312</v>
      </c>
      <c r="BD981" s="82" t="s">
        <v>6088</v>
      </c>
      <c r="BE981" s="77"/>
      <c r="BF981" s="77"/>
      <c r="BG981" s="77"/>
      <c r="BH981" s="77"/>
      <c r="BI981" s="77"/>
    </row>
    <row r="982" spans="1:61" x14ac:dyDescent="0.25">
      <c r="A982" s="62" t="s">
        <v>556</v>
      </c>
      <c r="B982" s="62" t="s">
        <v>556</v>
      </c>
      <c r="C982" s="63"/>
      <c r="D982" s="64"/>
      <c r="E982" s="65"/>
      <c r="F982" s="66"/>
      <c r="G982" s="63"/>
      <c r="H982" s="67"/>
      <c r="I982" s="68"/>
      <c r="J982" s="68"/>
      <c r="K982" s="32"/>
      <c r="L982" s="75">
        <v>982</v>
      </c>
      <c r="M982" s="75"/>
      <c r="N982" s="70"/>
      <c r="O982" s="77" t="s">
        <v>179</v>
      </c>
      <c r="P982" s="79">
        <v>45090.936712962961</v>
      </c>
      <c r="Q982" s="77" t="s">
        <v>1525</v>
      </c>
      <c r="R982" s="77">
        <v>0</v>
      </c>
      <c r="S982" s="77">
        <v>0</v>
      </c>
      <c r="T982" s="77">
        <v>0</v>
      </c>
      <c r="U982" s="77">
        <v>0</v>
      </c>
      <c r="V982" s="77">
        <v>330</v>
      </c>
      <c r="W982" s="82" t="s">
        <v>2108</v>
      </c>
      <c r="X982" s="77"/>
      <c r="Y982" s="77"/>
      <c r="Z982" s="77"/>
      <c r="AA982" s="77" t="s">
        <v>2701</v>
      </c>
      <c r="AB982" s="77" t="s">
        <v>2713</v>
      </c>
      <c r="AC982" s="82" t="s">
        <v>2719</v>
      </c>
      <c r="AD982" s="77" t="s">
        <v>2752</v>
      </c>
      <c r="AE982" s="80" t="str">
        <f>HYPERLINK("https://twitter.com/estantevirtuall/status/1668747289840570380")</f>
        <v>https://twitter.com/estantevirtuall/status/1668747289840570380</v>
      </c>
      <c r="AF982" s="79">
        <v>45090.936712962961</v>
      </c>
      <c r="AG982" s="85">
        <v>45090</v>
      </c>
      <c r="AH982" s="82" t="s">
        <v>3722</v>
      </c>
      <c r="AI982" s="77" t="b">
        <v>0</v>
      </c>
      <c r="AJ982" s="77"/>
      <c r="AK982" s="77"/>
      <c r="AL982" s="77"/>
      <c r="AM982" s="77"/>
      <c r="AN982" s="77"/>
      <c r="AO982" s="77"/>
      <c r="AP982" s="77"/>
      <c r="AQ982" s="77" t="s">
        <v>4327</v>
      </c>
      <c r="AR982" s="77">
        <v>15521</v>
      </c>
      <c r="AS982" s="77"/>
      <c r="AT982" s="77"/>
      <c r="AU982" s="77"/>
      <c r="AV982" s="80" t="str">
        <f>HYPERLINK("https://pbs.twimg.com/ext_tw_video_thumb/1668747238305038346/pu/img/WGug1C6ysM-aw8Jl.jpg")</f>
        <v>https://pbs.twimg.com/ext_tw_video_thumb/1668747238305038346/pu/img/WGug1C6ysM-aw8Jl.jpg</v>
      </c>
      <c r="AW982" s="82" t="s">
        <v>5313</v>
      </c>
      <c r="AX982" s="82" t="s">
        <v>5313</v>
      </c>
      <c r="AY982" s="77"/>
      <c r="AZ982" s="82" t="s">
        <v>5615</v>
      </c>
      <c r="BA982" s="82" t="s">
        <v>5615</v>
      </c>
      <c r="BB982" s="82" t="s">
        <v>5615</v>
      </c>
      <c r="BC982" s="82" t="s">
        <v>5313</v>
      </c>
      <c r="BD982" s="82" t="s">
        <v>6088</v>
      </c>
      <c r="BE982" s="77"/>
      <c r="BF982" s="77"/>
      <c r="BG982" s="77"/>
      <c r="BH982" s="77"/>
      <c r="BI982" s="77"/>
    </row>
    <row r="983" spans="1:61" x14ac:dyDescent="0.25">
      <c r="A983" s="62" t="s">
        <v>557</v>
      </c>
      <c r="B983" s="62" t="s">
        <v>557</v>
      </c>
      <c r="C983" s="63"/>
      <c r="D983" s="64"/>
      <c r="E983" s="65"/>
      <c r="F983" s="66"/>
      <c r="G983" s="63"/>
      <c r="H983" s="67"/>
      <c r="I983" s="68"/>
      <c r="J983" s="68"/>
      <c r="K983" s="32"/>
      <c r="L983" s="75">
        <v>983</v>
      </c>
      <c r="M983" s="75"/>
      <c r="N983" s="70"/>
      <c r="O983" s="77" t="s">
        <v>179</v>
      </c>
      <c r="P983" s="79">
        <v>45127.975324074076</v>
      </c>
      <c r="Q983" s="77" t="s">
        <v>1526</v>
      </c>
      <c r="R983" s="77">
        <v>0</v>
      </c>
      <c r="S983" s="77">
        <v>0</v>
      </c>
      <c r="T983" s="77">
        <v>0</v>
      </c>
      <c r="U983" s="77">
        <v>0</v>
      </c>
      <c r="V983" s="77">
        <v>29</v>
      </c>
      <c r="W983" s="82" t="s">
        <v>2109</v>
      </c>
      <c r="X983" s="77"/>
      <c r="Y983" s="77"/>
      <c r="Z983" s="77"/>
      <c r="AA983" s="77" t="s">
        <v>2702</v>
      </c>
      <c r="AB983" s="77" t="s">
        <v>2713</v>
      </c>
      <c r="AC983" s="82" t="s">
        <v>2719</v>
      </c>
      <c r="AD983" s="77" t="s">
        <v>2752</v>
      </c>
      <c r="AE983" s="80" t="str">
        <f>HYPERLINK("https://twitter.com/eijhenycristina/status/1682169633229398017")</f>
        <v>https://twitter.com/eijhenycristina/status/1682169633229398017</v>
      </c>
      <c r="AF983" s="79">
        <v>45127.975324074076</v>
      </c>
      <c r="AG983" s="85">
        <v>45127</v>
      </c>
      <c r="AH983" s="82" t="s">
        <v>3723</v>
      </c>
      <c r="AI983" s="77" t="b">
        <v>0</v>
      </c>
      <c r="AJ983" s="77"/>
      <c r="AK983" s="77"/>
      <c r="AL983" s="77"/>
      <c r="AM983" s="77"/>
      <c r="AN983" s="77"/>
      <c r="AO983" s="77"/>
      <c r="AP983" s="77"/>
      <c r="AQ983" s="77" t="s">
        <v>4328</v>
      </c>
      <c r="AR983" s="77">
        <v>10433</v>
      </c>
      <c r="AS983" s="77"/>
      <c r="AT983" s="77"/>
      <c r="AU983" s="77"/>
      <c r="AV983" s="80" t="str">
        <f>HYPERLINK("https://pbs.twimg.com/ext_tw_video_thumb/1682169595598188544/pu/img/5qR5tBslMCPga1wy.jpg")</f>
        <v>https://pbs.twimg.com/ext_tw_video_thumb/1682169595598188544/pu/img/5qR5tBslMCPga1wy.jpg</v>
      </c>
      <c r="AW983" s="82" t="s">
        <v>5314</v>
      </c>
      <c r="AX983" s="82" t="s">
        <v>5314</v>
      </c>
      <c r="AY983" s="77"/>
      <c r="AZ983" s="82" t="s">
        <v>5615</v>
      </c>
      <c r="BA983" s="82" t="s">
        <v>5615</v>
      </c>
      <c r="BB983" s="82" t="s">
        <v>5615</v>
      </c>
      <c r="BC983" s="82" t="s">
        <v>5314</v>
      </c>
      <c r="BD983" s="82" t="s">
        <v>6089</v>
      </c>
      <c r="BE983" s="77"/>
      <c r="BF983" s="77"/>
      <c r="BG983" s="77"/>
      <c r="BH983" s="77"/>
      <c r="BI983" s="77"/>
    </row>
    <row r="984" spans="1:61" x14ac:dyDescent="0.25">
      <c r="A984" s="62" t="s">
        <v>558</v>
      </c>
      <c r="B984" s="62" t="s">
        <v>558</v>
      </c>
      <c r="C984" s="63"/>
      <c r="D984" s="64"/>
      <c r="E984" s="65"/>
      <c r="F984" s="66"/>
      <c r="G984" s="63"/>
      <c r="H984" s="67"/>
      <c r="I984" s="68"/>
      <c r="J984" s="68"/>
      <c r="K984" s="32"/>
      <c r="L984" s="75">
        <v>984</v>
      </c>
      <c r="M984" s="75"/>
      <c r="N984" s="70"/>
      <c r="O984" s="77" t="s">
        <v>586</v>
      </c>
      <c r="P984" s="79">
        <v>44946.165833333333</v>
      </c>
      <c r="Q984" s="77" t="s">
        <v>1527</v>
      </c>
      <c r="R984" s="77">
        <v>0</v>
      </c>
      <c r="S984" s="77">
        <v>1</v>
      </c>
      <c r="T984" s="77">
        <v>0</v>
      </c>
      <c r="U984" s="77">
        <v>0</v>
      </c>
      <c r="V984" s="77">
        <v>21</v>
      </c>
      <c r="W984" s="82" t="s">
        <v>2110</v>
      </c>
      <c r="X984" s="77"/>
      <c r="Y984" s="77"/>
      <c r="Z984" s="77" t="s">
        <v>558</v>
      </c>
      <c r="AA984" s="77" t="s">
        <v>2703</v>
      </c>
      <c r="AB984" s="77" t="s">
        <v>2713</v>
      </c>
      <c r="AC984" s="82" t="s">
        <v>2722</v>
      </c>
      <c r="AD984" s="77" t="s">
        <v>2752</v>
      </c>
      <c r="AE984" s="80" t="str">
        <f>HYPERLINK("https://twitter.com/mestremarketlng/status/1616284080928079874")</f>
        <v>https://twitter.com/mestremarketlng/status/1616284080928079874</v>
      </c>
      <c r="AF984" s="79">
        <v>44946.165833333333</v>
      </c>
      <c r="AG984" s="85">
        <v>44946</v>
      </c>
      <c r="AH984" s="82" t="s">
        <v>3724</v>
      </c>
      <c r="AI984" s="77" t="b">
        <v>0</v>
      </c>
      <c r="AJ984" s="77"/>
      <c r="AK984" s="77"/>
      <c r="AL984" s="77"/>
      <c r="AM984" s="77"/>
      <c r="AN984" s="77"/>
      <c r="AO984" s="77"/>
      <c r="AP984" s="77"/>
      <c r="AQ984" s="77" t="s">
        <v>4329</v>
      </c>
      <c r="AR984" s="77">
        <v>17414</v>
      </c>
      <c r="AS984" s="77"/>
      <c r="AT984" s="77"/>
      <c r="AU984" s="77"/>
      <c r="AV984" s="80" t="str">
        <f>HYPERLINK("https://pbs.twimg.com/ext_tw_video_thumb/1616283251970031616/pu/img/xUJLioaOBFsbErm3.jpg")</f>
        <v>https://pbs.twimg.com/ext_tw_video_thumb/1616283251970031616/pu/img/xUJLioaOBFsbErm3.jpg</v>
      </c>
      <c r="AW984" s="82" t="s">
        <v>5315</v>
      </c>
      <c r="AX984" s="82" t="s">
        <v>5315</v>
      </c>
      <c r="AY984" s="77"/>
      <c r="AZ984" s="82" t="s">
        <v>5615</v>
      </c>
      <c r="BA984" s="82" t="s">
        <v>5615</v>
      </c>
      <c r="BB984" s="82" t="s">
        <v>5615</v>
      </c>
      <c r="BC984" s="82" t="s">
        <v>5315</v>
      </c>
      <c r="BD984" s="82" t="s">
        <v>6090</v>
      </c>
      <c r="BE984" s="77"/>
      <c r="BF984" s="77"/>
      <c r="BG984" s="77"/>
      <c r="BH984" s="77"/>
      <c r="BI984" s="77"/>
    </row>
    <row r="985" spans="1:61" x14ac:dyDescent="0.25">
      <c r="A985" s="62" t="s">
        <v>559</v>
      </c>
      <c r="B985" s="62" t="s">
        <v>559</v>
      </c>
      <c r="C985" s="63"/>
      <c r="D985" s="64"/>
      <c r="E985" s="65"/>
      <c r="F985" s="66"/>
      <c r="G985" s="63"/>
      <c r="H985" s="67"/>
      <c r="I985" s="68"/>
      <c r="J985" s="68"/>
      <c r="K985" s="32"/>
      <c r="L985" s="75">
        <v>985</v>
      </c>
      <c r="M985" s="75"/>
      <c r="N985" s="70"/>
      <c r="O985" s="77" t="s">
        <v>179</v>
      </c>
      <c r="P985" s="79">
        <v>45053.777141203704</v>
      </c>
      <c r="Q985" s="77" t="s">
        <v>1528</v>
      </c>
      <c r="R985" s="77">
        <v>0</v>
      </c>
      <c r="S985" s="77">
        <v>0</v>
      </c>
      <c r="T985" s="77">
        <v>0</v>
      </c>
      <c r="U985" s="77">
        <v>0</v>
      </c>
      <c r="V985" s="77">
        <v>92</v>
      </c>
      <c r="W985" s="82" t="s">
        <v>2111</v>
      </c>
      <c r="X985" s="77"/>
      <c r="Y985" s="77"/>
      <c r="Z985" s="77"/>
      <c r="AA985" s="77" t="s">
        <v>2704</v>
      </c>
      <c r="AB985" s="77" t="s">
        <v>2713</v>
      </c>
      <c r="AC985" s="82" t="s">
        <v>2720</v>
      </c>
      <c r="AD985" s="77" t="s">
        <v>2752</v>
      </c>
      <c r="AE985" s="80" t="str">
        <f>HYPERLINK("https://twitter.com/romerofinancas/status/1655281112040583168")</f>
        <v>https://twitter.com/romerofinancas/status/1655281112040583168</v>
      </c>
      <c r="AF985" s="79">
        <v>45053.777141203704</v>
      </c>
      <c r="AG985" s="85">
        <v>45053</v>
      </c>
      <c r="AH985" s="82" t="s">
        <v>3616</v>
      </c>
      <c r="AI985" s="77" t="b">
        <v>0</v>
      </c>
      <c r="AJ985" s="77"/>
      <c r="AK985" s="77"/>
      <c r="AL985" s="77"/>
      <c r="AM985" s="77"/>
      <c r="AN985" s="77"/>
      <c r="AO985" s="77"/>
      <c r="AP985" s="77"/>
      <c r="AQ985" s="77" t="s">
        <v>4330</v>
      </c>
      <c r="AR985" s="77">
        <v>15333</v>
      </c>
      <c r="AS985" s="77"/>
      <c r="AT985" s="77"/>
      <c r="AU985" s="77"/>
      <c r="AV985" s="80" t="str">
        <f>HYPERLINK("https://pbs.twimg.com/ext_tw_video_thumb/1655281073226383360/pu/img/jS7cfKXgDb0_QqSa.jpg")</f>
        <v>https://pbs.twimg.com/ext_tw_video_thumb/1655281073226383360/pu/img/jS7cfKXgDb0_QqSa.jpg</v>
      </c>
      <c r="AW985" s="82" t="s">
        <v>5316</v>
      </c>
      <c r="AX985" s="82" t="s">
        <v>5316</v>
      </c>
      <c r="AY985" s="77"/>
      <c r="AZ985" s="82" t="s">
        <v>5615</v>
      </c>
      <c r="BA985" s="82" t="s">
        <v>5615</v>
      </c>
      <c r="BB985" s="82" t="s">
        <v>5615</v>
      </c>
      <c r="BC985" s="82" t="s">
        <v>5316</v>
      </c>
      <c r="BD985" s="77">
        <v>3341974577</v>
      </c>
      <c r="BE985" s="77"/>
      <c r="BF985" s="77"/>
      <c r="BG985" s="77"/>
      <c r="BH985" s="77"/>
      <c r="BI985" s="77"/>
    </row>
    <row r="986" spans="1:61" x14ac:dyDescent="0.25">
      <c r="A986" s="62" t="s">
        <v>560</v>
      </c>
      <c r="B986" s="62" t="s">
        <v>560</v>
      </c>
      <c r="C986" s="63"/>
      <c r="D986" s="64"/>
      <c r="E986" s="65"/>
      <c r="F986" s="66"/>
      <c r="G986" s="63"/>
      <c r="H986" s="67"/>
      <c r="I986" s="68"/>
      <c r="J986" s="68"/>
      <c r="K986" s="32"/>
      <c r="L986" s="75">
        <v>986</v>
      </c>
      <c r="M986" s="75"/>
      <c r="N986" s="70"/>
      <c r="O986" s="77" t="s">
        <v>179</v>
      </c>
      <c r="P986" s="79">
        <v>45003.451192129629</v>
      </c>
      <c r="Q986" s="77" t="s">
        <v>1529</v>
      </c>
      <c r="R986" s="77">
        <v>0</v>
      </c>
      <c r="S986" s="77">
        <v>2</v>
      </c>
      <c r="T986" s="77">
        <v>0</v>
      </c>
      <c r="U986" s="77">
        <v>0</v>
      </c>
      <c r="V986" s="77">
        <v>5</v>
      </c>
      <c r="W986" s="82" t="s">
        <v>2112</v>
      </c>
      <c r="X986" s="77"/>
      <c r="Y986" s="77"/>
      <c r="Z986" s="77"/>
      <c r="AA986" s="77"/>
      <c r="AB986" s="77"/>
      <c r="AC986" s="82" t="s">
        <v>2722</v>
      </c>
      <c r="AD986" s="77" t="s">
        <v>2752</v>
      </c>
      <c r="AE986" s="80" t="str">
        <f>HYPERLINK("https://twitter.com/senhordigitais/status/1637043599618498566")</f>
        <v>https://twitter.com/senhordigitais/status/1637043599618498566</v>
      </c>
      <c r="AF986" s="79">
        <v>45003.451192129629</v>
      </c>
      <c r="AG986" s="85">
        <v>45003</v>
      </c>
      <c r="AH986" s="82" t="s">
        <v>3725</v>
      </c>
      <c r="AI986" s="77"/>
      <c r="AJ986" s="77"/>
      <c r="AK986" s="77"/>
      <c r="AL986" s="77"/>
      <c r="AM986" s="77"/>
      <c r="AN986" s="77"/>
      <c r="AO986" s="77"/>
      <c r="AP986" s="77"/>
      <c r="AQ986" s="77"/>
      <c r="AR986" s="77"/>
      <c r="AS986" s="77"/>
      <c r="AT986" s="77"/>
      <c r="AU986" s="77"/>
      <c r="AV986" s="80" t="str">
        <f>HYPERLINK("https://pbs.twimg.com/profile_images/1637038668119457795/X7v9w0s3_normal.jpg")</f>
        <v>https://pbs.twimg.com/profile_images/1637038668119457795/X7v9w0s3_normal.jpg</v>
      </c>
      <c r="AW986" s="82" t="s">
        <v>5317</v>
      </c>
      <c r="AX986" s="82" t="s">
        <v>5317</v>
      </c>
      <c r="AY986" s="77"/>
      <c r="AZ986" s="82" t="s">
        <v>5615</v>
      </c>
      <c r="BA986" s="82" t="s">
        <v>5615</v>
      </c>
      <c r="BB986" s="82" t="s">
        <v>5615</v>
      </c>
      <c r="BC986" s="82" t="s">
        <v>5317</v>
      </c>
      <c r="BD986" s="82" t="s">
        <v>6091</v>
      </c>
      <c r="BE986" s="77"/>
      <c r="BF986" s="77"/>
      <c r="BG986" s="77"/>
      <c r="BH986" s="77"/>
      <c r="BI986" s="77"/>
    </row>
    <row r="987" spans="1:61" x14ac:dyDescent="0.25">
      <c r="A987" s="62" t="s">
        <v>561</v>
      </c>
      <c r="B987" s="62" t="s">
        <v>561</v>
      </c>
      <c r="C987" s="63"/>
      <c r="D987" s="64"/>
      <c r="E987" s="65"/>
      <c r="F987" s="66"/>
      <c r="G987" s="63"/>
      <c r="H987" s="67"/>
      <c r="I987" s="68"/>
      <c r="J987" s="68"/>
      <c r="K987" s="32"/>
      <c r="L987" s="75">
        <v>987</v>
      </c>
      <c r="M987" s="75"/>
      <c r="N987" s="70"/>
      <c r="O987" s="77" t="s">
        <v>179</v>
      </c>
      <c r="P987" s="79">
        <v>44984.048518518517</v>
      </c>
      <c r="Q987" s="77" t="s">
        <v>1530</v>
      </c>
      <c r="R987" s="77">
        <v>0</v>
      </c>
      <c r="S987" s="77">
        <v>2</v>
      </c>
      <c r="T987" s="77">
        <v>0</v>
      </c>
      <c r="U987" s="77">
        <v>0</v>
      </c>
      <c r="V987" s="77">
        <v>57</v>
      </c>
      <c r="W987" s="82" t="s">
        <v>2113</v>
      </c>
      <c r="X987" s="80" t="str">
        <f>HYPERLINK("http://bit.ly/3m8mrH8")</f>
        <v>http://bit.ly/3m8mrH8</v>
      </c>
      <c r="Y987" s="77" t="s">
        <v>2132</v>
      </c>
      <c r="Z987" s="77"/>
      <c r="AA987" s="77" t="s">
        <v>2705</v>
      </c>
      <c r="AB987" s="77" t="s">
        <v>2714</v>
      </c>
      <c r="AC987" s="82" t="s">
        <v>2722</v>
      </c>
      <c r="AD987" s="77" t="s">
        <v>2752</v>
      </c>
      <c r="AE987" s="80" t="str">
        <f>HYPERLINK("https://twitter.com/portalblurbi/status/1630012306632343552")</f>
        <v>https://twitter.com/portalblurbi/status/1630012306632343552</v>
      </c>
      <c r="AF987" s="79">
        <v>44984.048518518517</v>
      </c>
      <c r="AG987" s="85">
        <v>44984</v>
      </c>
      <c r="AH987" s="82" t="s">
        <v>3726</v>
      </c>
      <c r="AI987" s="77" t="b">
        <v>0</v>
      </c>
      <c r="AJ987" s="77"/>
      <c r="AK987" s="77"/>
      <c r="AL987" s="77"/>
      <c r="AM987" s="77"/>
      <c r="AN987" s="77"/>
      <c r="AO987" s="77"/>
      <c r="AP987" s="77"/>
      <c r="AQ987" s="77" t="s">
        <v>4331</v>
      </c>
      <c r="AR987" s="77"/>
      <c r="AS987" s="77"/>
      <c r="AT987" s="77"/>
      <c r="AU987" s="77"/>
      <c r="AV987" s="80" t="str">
        <f>HYPERLINK("https://pbs.twimg.com/media/Fp73RU8WIAAFaHo.png")</f>
        <v>https://pbs.twimg.com/media/Fp73RU8WIAAFaHo.png</v>
      </c>
      <c r="AW987" s="82" t="s">
        <v>5318</v>
      </c>
      <c r="AX987" s="82" t="s">
        <v>5318</v>
      </c>
      <c r="AY987" s="77"/>
      <c r="AZ987" s="82" t="s">
        <v>5615</v>
      </c>
      <c r="BA987" s="82" t="s">
        <v>5615</v>
      </c>
      <c r="BB987" s="82" t="s">
        <v>5615</v>
      </c>
      <c r="BC987" s="82" t="s">
        <v>5318</v>
      </c>
      <c r="BD987" s="82" t="s">
        <v>6092</v>
      </c>
      <c r="BE987" s="77"/>
      <c r="BF987" s="77"/>
      <c r="BG987" s="77"/>
      <c r="BH987" s="77"/>
      <c r="BI987" s="77"/>
    </row>
    <row r="988" spans="1:61" x14ac:dyDescent="0.25">
      <c r="A988" s="62" t="s">
        <v>562</v>
      </c>
      <c r="B988" s="62" t="s">
        <v>562</v>
      </c>
      <c r="C988" s="63"/>
      <c r="D988" s="64"/>
      <c r="E988" s="65"/>
      <c r="F988" s="66"/>
      <c r="G988" s="63"/>
      <c r="H988" s="67"/>
      <c r="I988" s="68"/>
      <c r="J988" s="68"/>
      <c r="K988" s="32"/>
      <c r="L988" s="75">
        <v>988</v>
      </c>
      <c r="M988" s="75"/>
      <c r="N988" s="70"/>
      <c r="O988" s="77" t="s">
        <v>179</v>
      </c>
      <c r="P988" s="79">
        <v>45089.459004629629</v>
      </c>
      <c r="Q988" s="77" t="s">
        <v>1531</v>
      </c>
      <c r="R988" s="77">
        <v>0</v>
      </c>
      <c r="S988" s="77">
        <v>0</v>
      </c>
      <c r="T988" s="77">
        <v>0</v>
      </c>
      <c r="U988" s="77">
        <v>0</v>
      </c>
      <c r="V988" s="77">
        <v>8</v>
      </c>
      <c r="W988" s="82" t="s">
        <v>2114</v>
      </c>
      <c r="X988" s="77"/>
      <c r="Y988" s="77"/>
      <c r="Z988" s="77"/>
      <c r="AA988" s="77" t="s">
        <v>2706</v>
      </c>
      <c r="AB988" s="77" t="s">
        <v>2714</v>
      </c>
      <c r="AC988" s="82" t="s">
        <v>2719</v>
      </c>
      <c r="AD988" s="77" t="s">
        <v>2752</v>
      </c>
      <c r="AE988" s="80" t="str">
        <f>HYPERLINK("https://twitter.com/luciclaudio7/status/1668211785227284480")</f>
        <v>https://twitter.com/luciclaudio7/status/1668211785227284480</v>
      </c>
      <c r="AF988" s="79">
        <v>45089.459004629629</v>
      </c>
      <c r="AG988" s="85">
        <v>45089</v>
      </c>
      <c r="AH988" s="82" t="s">
        <v>3727</v>
      </c>
      <c r="AI988" s="77" t="b">
        <v>0</v>
      </c>
      <c r="AJ988" s="77"/>
      <c r="AK988" s="77"/>
      <c r="AL988" s="77"/>
      <c r="AM988" s="77"/>
      <c r="AN988" s="77"/>
      <c r="AO988" s="77"/>
      <c r="AP988" s="77"/>
      <c r="AQ988" s="77" t="s">
        <v>4332</v>
      </c>
      <c r="AR988" s="77"/>
      <c r="AS988" s="77"/>
      <c r="AT988" s="77"/>
      <c r="AU988" s="77"/>
      <c r="AV988" s="80" t="str">
        <f>HYPERLINK("https://pbs.twimg.com/media/FyatxvQWIAA-W3U.jpg")</f>
        <v>https://pbs.twimg.com/media/FyatxvQWIAA-W3U.jpg</v>
      </c>
      <c r="AW988" s="82" t="s">
        <v>5319</v>
      </c>
      <c r="AX988" s="82" t="s">
        <v>5319</v>
      </c>
      <c r="AY988" s="77"/>
      <c r="AZ988" s="82" t="s">
        <v>5615</v>
      </c>
      <c r="BA988" s="82" t="s">
        <v>5615</v>
      </c>
      <c r="BB988" s="82" t="s">
        <v>5615</v>
      </c>
      <c r="BC988" s="82" t="s">
        <v>5319</v>
      </c>
      <c r="BD988" s="77">
        <v>4557142769</v>
      </c>
      <c r="BE988" s="77"/>
      <c r="BF988" s="77"/>
      <c r="BG988" s="77"/>
      <c r="BH988" s="77"/>
      <c r="BI988" s="77"/>
    </row>
    <row r="989" spans="1:61" x14ac:dyDescent="0.25">
      <c r="A989" s="62" t="s">
        <v>563</v>
      </c>
      <c r="B989" s="62" t="s">
        <v>563</v>
      </c>
      <c r="C989" s="63"/>
      <c r="D989" s="64"/>
      <c r="E989" s="65"/>
      <c r="F989" s="66"/>
      <c r="G989" s="63"/>
      <c r="H989" s="67"/>
      <c r="I989" s="68"/>
      <c r="J989" s="68"/>
      <c r="K989" s="32"/>
      <c r="L989" s="75">
        <v>989</v>
      </c>
      <c r="M989" s="75"/>
      <c r="N989" s="70"/>
      <c r="O989" s="77" t="s">
        <v>179</v>
      </c>
      <c r="P989" s="79">
        <v>45118.030891203707</v>
      </c>
      <c r="Q989" s="77" t="s">
        <v>1532</v>
      </c>
      <c r="R989" s="77">
        <v>0</v>
      </c>
      <c r="S989" s="77">
        <v>2</v>
      </c>
      <c r="T989" s="77">
        <v>2</v>
      </c>
      <c r="U989" s="77">
        <v>0</v>
      </c>
      <c r="V989" s="77">
        <v>66</v>
      </c>
      <c r="W989" s="82" t="s">
        <v>2115</v>
      </c>
      <c r="X989" s="77"/>
      <c r="Y989" s="77"/>
      <c r="Z989" s="77"/>
      <c r="AA989" s="77" t="s">
        <v>2707</v>
      </c>
      <c r="AB989" s="77" t="s">
        <v>2714</v>
      </c>
      <c r="AC989" s="82" t="s">
        <v>2719</v>
      </c>
      <c r="AD989" s="77" t="s">
        <v>2753</v>
      </c>
      <c r="AE989" s="80" t="str">
        <f>HYPERLINK("https://twitter.com/henleinvest/status/1678565890181218304")</f>
        <v>https://twitter.com/henleinvest/status/1678565890181218304</v>
      </c>
      <c r="AF989" s="79">
        <v>45118.030891203707</v>
      </c>
      <c r="AG989" s="85">
        <v>45118</v>
      </c>
      <c r="AH989" s="82" t="s">
        <v>3728</v>
      </c>
      <c r="AI989" s="77" t="b">
        <v>0</v>
      </c>
      <c r="AJ989" s="77"/>
      <c r="AK989" s="77"/>
      <c r="AL989" s="77"/>
      <c r="AM989" s="77"/>
      <c r="AN989" s="77"/>
      <c r="AO989" s="77"/>
      <c r="AP989" s="77"/>
      <c r="AQ989" s="77" t="s">
        <v>4333</v>
      </c>
      <c r="AR989" s="77"/>
      <c r="AS989" s="77"/>
      <c r="AT989" s="77"/>
      <c r="AU989" s="77"/>
      <c r="AV989" s="80" t="str">
        <f>HYPERLINK("https://pbs.twimg.com/media/F0t2x-IWYAArkil.jpg")</f>
        <v>https://pbs.twimg.com/media/F0t2x-IWYAArkil.jpg</v>
      </c>
      <c r="AW989" s="82" t="s">
        <v>5320</v>
      </c>
      <c r="AX989" s="82" t="s">
        <v>5320</v>
      </c>
      <c r="AY989" s="77"/>
      <c r="AZ989" s="82" t="s">
        <v>5615</v>
      </c>
      <c r="BA989" s="82" t="s">
        <v>5615</v>
      </c>
      <c r="BB989" s="82" t="s">
        <v>5615</v>
      </c>
      <c r="BC989" s="82" t="s">
        <v>5320</v>
      </c>
      <c r="BD989" s="82" t="s">
        <v>6093</v>
      </c>
      <c r="BE989" s="77"/>
      <c r="BF989" s="77"/>
      <c r="BG989" s="77"/>
      <c r="BH989" s="77"/>
      <c r="BI989" s="77"/>
    </row>
    <row r="990" spans="1:61" x14ac:dyDescent="0.25">
      <c r="A990" s="62" t="s">
        <v>564</v>
      </c>
      <c r="B990" s="62" t="s">
        <v>581</v>
      </c>
      <c r="C990" s="63"/>
      <c r="D990" s="64"/>
      <c r="E990" s="65"/>
      <c r="F990" s="66"/>
      <c r="G990" s="63"/>
      <c r="H990" s="67"/>
      <c r="I990" s="68"/>
      <c r="J990" s="68"/>
      <c r="K990" s="32"/>
      <c r="L990" s="75">
        <v>990</v>
      </c>
      <c r="M990" s="75"/>
      <c r="N990" s="70"/>
      <c r="O990" s="77" t="s">
        <v>586</v>
      </c>
      <c r="P990" s="79">
        <v>45150.991620370369</v>
      </c>
      <c r="Q990" s="77" t="s">
        <v>1533</v>
      </c>
      <c r="R990" s="77">
        <v>0</v>
      </c>
      <c r="S990" s="77">
        <v>0</v>
      </c>
      <c r="T990" s="77">
        <v>0</v>
      </c>
      <c r="U990" s="77">
        <v>0</v>
      </c>
      <c r="V990" s="77">
        <v>30</v>
      </c>
      <c r="W990" s="82" t="s">
        <v>2116</v>
      </c>
      <c r="X990" s="77"/>
      <c r="Y990" s="77"/>
      <c r="Z990" s="77" t="s">
        <v>581</v>
      </c>
      <c r="AA990" s="77" t="s">
        <v>2708</v>
      </c>
      <c r="AB990" s="77" t="s">
        <v>2713</v>
      </c>
      <c r="AC990" s="82" t="s">
        <v>2722</v>
      </c>
      <c r="AD990" s="77" t="s">
        <v>2752</v>
      </c>
      <c r="AE990" s="80" t="str">
        <f>HYPERLINK("https://twitter.com/takesdoferini/status/1690510458921287682")</f>
        <v>https://twitter.com/takesdoferini/status/1690510458921287682</v>
      </c>
      <c r="AF990" s="79">
        <v>45150.991620370369</v>
      </c>
      <c r="AG990" s="85">
        <v>45150</v>
      </c>
      <c r="AH990" s="82" t="s">
        <v>3729</v>
      </c>
      <c r="AI990" s="77" t="b">
        <v>0</v>
      </c>
      <c r="AJ990" s="77"/>
      <c r="AK990" s="77"/>
      <c r="AL990" s="77"/>
      <c r="AM990" s="77"/>
      <c r="AN990" s="77"/>
      <c r="AO990" s="77"/>
      <c r="AP990" s="77"/>
      <c r="AQ990" s="77" t="s">
        <v>4334</v>
      </c>
      <c r="AR990" s="77">
        <v>52266</v>
      </c>
      <c r="AS990" s="77"/>
      <c r="AT990" s="77"/>
      <c r="AU990" s="77"/>
      <c r="AV990" s="80" t="str">
        <f>HYPERLINK("https://pbs.twimg.com/ext_tw_video_thumb/1690510204662624256/pu/img/gjD0iFfi1jpWmPNe.jpg")</f>
        <v>https://pbs.twimg.com/ext_tw_video_thumb/1690510204662624256/pu/img/gjD0iFfi1jpWmPNe.jpg</v>
      </c>
      <c r="AW990" s="82" t="s">
        <v>5321</v>
      </c>
      <c r="AX990" s="82" t="s">
        <v>5321</v>
      </c>
      <c r="AY990" s="77"/>
      <c r="AZ990" s="82" t="s">
        <v>5615</v>
      </c>
      <c r="BA990" s="82" t="s">
        <v>5615</v>
      </c>
      <c r="BB990" s="82" t="s">
        <v>5615</v>
      </c>
      <c r="BC990" s="82" t="s">
        <v>5321</v>
      </c>
      <c r="BD990" s="82" t="s">
        <v>6094</v>
      </c>
      <c r="BE990" s="77"/>
      <c r="BF990" s="77"/>
      <c r="BG990" s="77"/>
      <c r="BH990" s="77"/>
      <c r="BI990" s="77"/>
    </row>
    <row r="991" spans="1:61" x14ac:dyDescent="0.25">
      <c r="A991" s="62" t="s">
        <v>564</v>
      </c>
      <c r="B991" s="62" t="s">
        <v>581</v>
      </c>
      <c r="C991" s="63"/>
      <c r="D991" s="64"/>
      <c r="E991" s="65"/>
      <c r="F991" s="66"/>
      <c r="G991" s="63"/>
      <c r="H991" s="67"/>
      <c r="I991" s="68"/>
      <c r="J991" s="68"/>
      <c r="K991" s="32"/>
      <c r="L991" s="75">
        <v>991</v>
      </c>
      <c r="M991" s="75"/>
      <c r="N991" s="70"/>
      <c r="O991" s="77" t="s">
        <v>586</v>
      </c>
      <c r="P991" s="79">
        <v>45150.147407407407</v>
      </c>
      <c r="Q991" s="77" t="s">
        <v>1534</v>
      </c>
      <c r="R991" s="77">
        <v>0</v>
      </c>
      <c r="S991" s="77">
        <v>1</v>
      </c>
      <c r="T991" s="77">
        <v>0</v>
      </c>
      <c r="U991" s="77">
        <v>0</v>
      </c>
      <c r="V991" s="77">
        <v>65</v>
      </c>
      <c r="W991" s="82" t="s">
        <v>2116</v>
      </c>
      <c r="X991" s="77"/>
      <c r="Y991" s="77"/>
      <c r="Z991" s="77" t="s">
        <v>581</v>
      </c>
      <c r="AA991" s="77" t="s">
        <v>2709</v>
      </c>
      <c r="AB991" s="77" t="s">
        <v>2713</v>
      </c>
      <c r="AC991" s="82" t="s">
        <v>2722</v>
      </c>
      <c r="AD991" s="77" t="s">
        <v>2752</v>
      </c>
      <c r="AE991" s="80" t="str">
        <f>HYPERLINK("https://twitter.com/takesdoferini/status/1690204528774139904")</f>
        <v>https://twitter.com/takesdoferini/status/1690204528774139904</v>
      </c>
      <c r="AF991" s="79">
        <v>45150.147407407407</v>
      </c>
      <c r="AG991" s="85">
        <v>45150</v>
      </c>
      <c r="AH991" s="82" t="s">
        <v>3730</v>
      </c>
      <c r="AI991" s="77" t="b">
        <v>0</v>
      </c>
      <c r="AJ991" s="77"/>
      <c r="AK991" s="77"/>
      <c r="AL991" s="77"/>
      <c r="AM991" s="77"/>
      <c r="AN991" s="77"/>
      <c r="AO991" s="77"/>
      <c r="AP991" s="77"/>
      <c r="AQ991" s="77" t="s">
        <v>4335</v>
      </c>
      <c r="AR991" s="77">
        <v>71966</v>
      </c>
      <c r="AS991" s="77"/>
      <c r="AT991" s="77"/>
      <c r="AU991" s="77"/>
      <c r="AV991" s="80" t="str">
        <f>HYPERLINK("https://pbs.twimg.com/ext_tw_video_thumb/1690202931675418625/pu/img/pOniaThmpaOq2tHB.jpg")</f>
        <v>https://pbs.twimg.com/ext_tw_video_thumb/1690202931675418625/pu/img/pOniaThmpaOq2tHB.jpg</v>
      </c>
      <c r="AW991" s="82" t="s">
        <v>5322</v>
      </c>
      <c r="AX991" s="82" t="s">
        <v>5322</v>
      </c>
      <c r="AY991" s="77"/>
      <c r="AZ991" s="82" t="s">
        <v>5615</v>
      </c>
      <c r="BA991" s="82" t="s">
        <v>5615</v>
      </c>
      <c r="BB991" s="82" t="s">
        <v>5615</v>
      </c>
      <c r="BC991" s="82" t="s">
        <v>5322</v>
      </c>
      <c r="BD991" s="82" t="s">
        <v>6094</v>
      </c>
      <c r="BE991" s="77"/>
      <c r="BF991" s="77"/>
      <c r="BG991" s="77"/>
      <c r="BH991" s="77"/>
      <c r="BI991" s="77"/>
    </row>
    <row r="992" spans="1:61" x14ac:dyDescent="0.25">
      <c r="A992" s="62" t="s">
        <v>564</v>
      </c>
      <c r="B992" s="62" t="s">
        <v>581</v>
      </c>
      <c r="C992" s="63"/>
      <c r="D992" s="64"/>
      <c r="E992" s="65"/>
      <c r="F992" s="66"/>
      <c r="G992" s="63"/>
      <c r="H992" s="67"/>
      <c r="I992" s="68"/>
      <c r="J992" s="68"/>
      <c r="K992" s="32"/>
      <c r="L992" s="75">
        <v>992</v>
      </c>
      <c r="M992" s="75"/>
      <c r="N992" s="70"/>
      <c r="O992" s="77" t="s">
        <v>586</v>
      </c>
      <c r="P992" s="79">
        <v>45149.726168981484</v>
      </c>
      <c r="Q992" s="77" t="s">
        <v>1535</v>
      </c>
      <c r="R992" s="77">
        <v>0</v>
      </c>
      <c r="S992" s="77">
        <v>0</v>
      </c>
      <c r="T992" s="77">
        <v>0</v>
      </c>
      <c r="U992" s="77">
        <v>0</v>
      </c>
      <c r="V992" s="77">
        <v>37</v>
      </c>
      <c r="W992" s="82" t="s">
        <v>2117</v>
      </c>
      <c r="X992" s="77"/>
      <c r="Y992" s="77"/>
      <c r="Z992" s="77" t="s">
        <v>581</v>
      </c>
      <c r="AA992" s="77" t="s">
        <v>2710</v>
      </c>
      <c r="AB992" s="77" t="s">
        <v>2713</v>
      </c>
      <c r="AC992" s="82" t="s">
        <v>2722</v>
      </c>
      <c r="AD992" s="77" t="s">
        <v>2752</v>
      </c>
      <c r="AE992" s="80" t="str">
        <f>HYPERLINK("https://twitter.com/takesdoferini/status/1690051877423980559")</f>
        <v>https://twitter.com/takesdoferini/status/1690051877423980559</v>
      </c>
      <c r="AF992" s="79">
        <v>45149.726168981484</v>
      </c>
      <c r="AG992" s="85">
        <v>45149</v>
      </c>
      <c r="AH992" s="82" t="s">
        <v>3731</v>
      </c>
      <c r="AI992" s="77" t="b">
        <v>0</v>
      </c>
      <c r="AJ992" s="77"/>
      <c r="AK992" s="77"/>
      <c r="AL992" s="77"/>
      <c r="AM992" s="77"/>
      <c r="AN992" s="77"/>
      <c r="AO992" s="77"/>
      <c r="AP992" s="77"/>
      <c r="AQ992" s="77" t="s">
        <v>4336</v>
      </c>
      <c r="AR992" s="77">
        <v>15833</v>
      </c>
      <c r="AS992" s="77"/>
      <c r="AT992" s="77"/>
      <c r="AU992" s="77"/>
      <c r="AV992" s="80" t="str">
        <f>HYPERLINK("https://pbs.twimg.com/ext_tw_video_thumb/1690051730132606984/pu/img/hn3HULPMuwJntVnG.jpg")</f>
        <v>https://pbs.twimg.com/ext_tw_video_thumb/1690051730132606984/pu/img/hn3HULPMuwJntVnG.jpg</v>
      </c>
      <c r="AW992" s="82" t="s">
        <v>5323</v>
      </c>
      <c r="AX992" s="82" t="s">
        <v>5323</v>
      </c>
      <c r="AY992" s="77"/>
      <c r="AZ992" s="82" t="s">
        <v>5615</v>
      </c>
      <c r="BA992" s="82" t="s">
        <v>5615</v>
      </c>
      <c r="BB992" s="82" t="s">
        <v>5615</v>
      </c>
      <c r="BC992" s="82" t="s">
        <v>5323</v>
      </c>
      <c r="BD992" s="82" t="s">
        <v>6094</v>
      </c>
      <c r="BE992" s="77"/>
      <c r="BF992" s="77"/>
      <c r="BG992" s="77"/>
      <c r="BH992" s="77"/>
      <c r="BI992" s="77"/>
    </row>
    <row r="993" spans="1:61" x14ac:dyDescent="0.25">
      <c r="A993" s="62" t="s">
        <v>564</v>
      </c>
      <c r="B993" s="62" t="s">
        <v>564</v>
      </c>
      <c r="C993" s="63"/>
      <c r="D993" s="64"/>
      <c r="E993" s="65"/>
      <c r="F993" s="66"/>
      <c r="G993" s="63"/>
      <c r="H993" s="67"/>
      <c r="I993" s="68"/>
      <c r="J993" s="68"/>
      <c r="K993" s="32"/>
      <c r="L993" s="75">
        <v>993</v>
      </c>
      <c r="M993" s="75"/>
      <c r="N993" s="70"/>
      <c r="O993" s="77" t="s">
        <v>179</v>
      </c>
      <c r="P993" s="79">
        <v>45149.606365740743</v>
      </c>
      <c r="Q993" s="77" t="s">
        <v>1536</v>
      </c>
      <c r="R993" s="77">
        <v>0</v>
      </c>
      <c r="S993" s="77">
        <v>0</v>
      </c>
      <c r="T993" s="77">
        <v>0</v>
      </c>
      <c r="U993" s="77">
        <v>0</v>
      </c>
      <c r="V993" s="77">
        <v>39</v>
      </c>
      <c r="W993" s="82" t="s">
        <v>2118</v>
      </c>
      <c r="X993" s="77"/>
      <c r="Y993" s="77"/>
      <c r="Z993" s="77"/>
      <c r="AA993" s="77" t="s">
        <v>2711</v>
      </c>
      <c r="AB993" s="77" t="s">
        <v>2713</v>
      </c>
      <c r="AC993" s="82" t="s">
        <v>2722</v>
      </c>
      <c r="AD993" s="77" t="s">
        <v>2752</v>
      </c>
      <c r="AE993" s="80" t="str">
        <f>HYPERLINK("https://twitter.com/takesdoferini/status/1690008462246232064")</f>
        <v>https://twitter.com/takesdoferini/status/1690008462246232064</v>
      </c>
      <c r="AF993" s="79">
        <v>45149.606365740743</v>
      </c>
      <c r="AG993" s="85">
        <v>45149</v>
      </c>
      <c r="AH993" s="82" t="s">
        <v>3732</v>
      </c>
      <c r="AI993" s="77" t="b">
        <v>0</v>
      </c>
      <c r="AJ993" s="77"/>
      <c r="AK993" s="77"/>
      <c r="AL993" s="77"/>
      <c r="AM993" s="77"/>
      <c r="AN993" s="77"/>
      <c r="AO993" s="77"/>
      <c r="AP993" s="77"/>
      <c r="AQ993" s="77" t="s">
        <v>4337</v>
      </c>
      <c r="AR993" s="77">
        <v>44533</v>
      </c>
      <c r="AS993" s="77"/>
      <c r="AT993" s="77"/>
      <c r="AU993" s="77"/>
      <c r="AV993" s="80" t="str">
        <f>HYPERLINK("https://pbs.twimg.com/ext_tw_video_thumb/1690001254179618818/pu/img/5httkdGeng-SH9SR.jpg")</f>
        <v>https://pbs.twimg.com/ext_tw_video_thumb/1690001254179618818/pu/img/5httkdGeng-SH9SR.jpg</v>
      </c>
      <c r="AW993" s="82" t="s">
        <v>5324</v>
      </c>
      <c r="AX993" s="82" t="s">
        <v>5324</v>
      </c>
      <c r="AY993" s="77"/>
      <c r="AZ993" s="82" t="s">
        <v>5615</v>
      </c>
      <c r="BA993" s="82" t="s">
        <v>5615</v>
      </c>
      <c r="BB993" s="82" t="s">
        <v>5615</v>
      </c>
      <c r="BC993" s="82" t="s">
        <v>5324</v>
      </c>
      <c r="BD993" s="82" t="s">
        <v>6094</v>
      </c>
      <c r="BE993" s="77"/>
      <c r="BF993" s="77"/>
      <c r="BG993" s="77"/>
      <c r="BH993" s="77"/>
      <c r="BI993" s="7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93"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93" xr:uid="{00000000-0002-0000-0000-000001000000}"/>
    <dataValidation allowBlank="1" showErrorMessage="1" sqref="N2:N993"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93"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93" xr:uid="{00000000-0002-0000-0000-000004000000}"/>
    <dataValidation allowBlank="1" showInputMessage="1" promptTitle="Edge Color" prompt="To select an optional edge color, right-click and select Select Color on the right-click menu." sqref="C3:C993" xr:uid="{00000000-0002-0000-0000-000005000000}"/>
    <dataValidation allowBlank="1" showInputMessage="1" errorTitle="Invalid Edge Width" error="The optional edge width must be a whole number between 1 and 10." promptTitle="Edge Width" prompt="Enter an optional edge width between 1 and 10." sqref="D3:D993"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993"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93" xr:uid="{00000000-0002-0000-0000-000008000000}">
      <formula1>ValidEdgeVisibilities</formula1>
    </dataValidation>
    <dataValidation allowBlank="1" showInputMessage="1" showErrorMessage="1" promptTitle="Vertex 1 Name" prompt="Enter the name of the edge's first vertex." sqref="A3:A993" xr:uid="{00000000-0002-0000-0000-000009000000}"/>
    <dataValidation allowBlank="1" showInputMessage="1" showErrorMessage="1" promptTitle="Vertex 2 Name" prompt="Enter the name of the edge's second vertex." sqref="B3:B993"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993"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93"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93"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P362"/>
  <sheetViews>
    <sheetView workbookViewId="0">
      <pane xSplit="1" ySplit="2" topLeftCell="B3" activePane="bottomRight" state="frozen"/>
      <selection pane="topRight" activeCell="B1" sqref="B1"/>
      <selection pane="bottomLeft" activeCell="A3" sqref="A3"/>
      <selection pane="bottomRight" activeCell="A2" sqref="A2:AD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hidden="1" customWidth="1"/>
    <col min="28" max="28" width="16" hidden="1" customWidth="1"/>
    <col min="29" max="29" width="16" style="5" bestFit="1" customWidth="1"/>
    <col min="30" max="30" width="8.5703125" style="2" bestFit="1" customWidth="1"/>
    <col min="31" max="31" width="9.5703125" bestFit="1" customWidth="1"/>
    <col min="32" max="32" width="12" bestFit="1" customWidth="1"/>
    <col min="33" max="33" width="11.5703125" bestFit="1" customWidth="1"/>
    <col min="34" max="34" width="9.7109375" bestFit="1" customWidth="1"/>
    <col min="35" max="35" width="9" bestFit="1" customWidth="1"/>
    <col min="36" max="36" width="13" bestFit="1" customWidth="1"/>
    <col min="37" max="37" width="14.5703125" bestFit="1" customWidth="1"/>
    <col min="38" max="38" width="10.5703125" bestFit="1" customWidth="1"/>
    <col min="39" max="39" width="16.5703125" bestFit="1" customWidth="1"/>
    <col min="40" max="40" width="10.7109375" bestFit="1" customWidth="1"/>
    <col min="41" max="41" width="13.42578125" bestFit="1" customWidth="1"/>
    <col min="42" max="42" width="10.85546875" bestFit="1" customWidth="1"/>
    <col min="43" max="43" width="17.140625" bestFit="1" customWidth="1"/>
    <col min="44" max="44" width="14.7109375" bestFit="1" customWidth="1"/>
    <col min="45" max="45" width="15.5703125" bestFit="1" customWidth="1"/>
    <col min="46" max="46" width="23.28515625" bestFit="1" customWidth="1"/>
    <col min="47" max="47" width="21" bestFit="1" customWidth="1"/>
    <col min="48" max="48" width="11.140625" bestFit="1" customWidth="1"/>
    <col min="49" max="49" width="6.5703125" bestFit="1" customWidth="1"/>
    <col min="50" max="50" width="10.5703125" bestFit="1" customWidth="1"/>
    <col min="51" max="51" width="14.140625" bestFit="1" customWidth="1"/>
    <col min="52" max="52" width="12" bestFit="1" customWidth="1"/>
    <col min="53" max="53" width="10" bestFit="1" customWidth="1"/>
    <col min="54" max="54" width="13" bestFit="1" customWidth="1"/>
    <col min="55" max="55" width="10.28515625" bestFit="1" customWidth="1"/>
    <col min="56" max="56" width="16.85546875" bestFit="1" customWidth="1"/>
    <col min="57" max="58" width="14" bestFit="1" customWidth="1"/>
    <col min="59" max="59" width="11.42578125" bestFit="1" customWidth="1"/>
    <col min="60" max="60" width="13.28515625" bestFit="1" customWidth="1"/>
    <col min="61" max="61" width="19.7109375" bestFit="1" customWidth="1"/>
    <col min="62" max="62" width="12.5703125" bestFit="1" customWidth="1"/>
    <col min="63" max="63" width="11.7109375" bestFit="1" customWidth="1"/>
    <col min="64" max="64" width="11.5703125" bestFit="1" customWidth="1"/>
    <col min="65" max="65" width="15.140625" bestFit="1" customWidth="1"/>
    <col min="66" max="67" width="16.140625" bestFit="1" customWidth="1"/>
  </cols>
  <sheetData>
    <row r="1" spans="1:68" x14ac:dyDescent="0.25">
      <c r="B1" s="22" t="s">
        <v>39</v>
      </c>
      <c r="C1" s="15"/>
      <c r="D1" s="15"/>
      <c r="E1" s="15"/>
      <c r="F1" s="15"/>
      <c r="G1" s="15"/>
      <c r="H1" s="24" t="s">
        <v>43</v>
      </c>
      <c r="I1" s="23"/>
      <c r="J1" s="23"/>
      <c r="K1" s="23"/>
      <c r="L1" s="26" t="s">
        <v>44</v>
      </c>
      <c r="M1" s="25"/>
      <c r="N1" s="25"/>
      <c r="O1" s="25"/>
      <c r="P1" s="25"/>
      <c r="Q1" s="25"/>
      <c r="R1" s="21" t="s">
        <v>42</v>
      </c>
      <c r="S1" s="18"/>
      <c r="T1" s="19"/>
      <c r="U1" s="20"/>
      <c r="V1" s="18"/>
      <c r="W1" s="18"/>
      <c r="X1" s="18"/>
      <c r="Y1" s="18"/>
      <c r="Z1" s="18"/>
      <c r="AA1" s="27" t="s">
        <v>40</v>
      </c>
      <c r="AB1" s="17"/>
      <c r="AC1" s="28" t="s">
        <v>41</v>
      </c>
      <c r="AD1"/>
    </row>
    <row r="2" spans="1:68" ht="30" customHeight="1" x14ac:dyDescent="0.25">
      <c r="A2" s="10" t="s">
        <v>5</v>
      </c>
      <c r="B2" s="7" t="s">
        <v>2</v>
      </c>
      <c r="C2" s="7" t="s">
        <v>8</v>
      </c>
      <c r="D2" s="8" t="s">
        <v>45</v>
      </c>
      <c r="E2" s="9" t="s">
        <v>4</v>
      </c>
      <c r="F2" s="7" t="s">
        <v>48</v>
      </c>
      <c r="G2" s="7" t="s">
        <v>11</v>
      </c>
      <c r="H2" s="7" t="s">
        <v>46</v>
      </c>
      <c r="I2" s="7" t="s">
        <v>47</v>
      </c>
      <c r="J2" s="7" t="s">
        <v>77</v>
      </c>
      <c r="K2" s="7" t="s">
        <v>10</v>
      </c>
      <c r="L2" s="7" t="s">
        <v>27</v>
      </c>
      <c r="M2" s="7" t="s">
        <v>15</v>
      </c>
      <c r="N2" s="7" t="s">
        <v>16</v>
      </c>
      <c r="O2" s="7" t="s">
        <v>13</v>
      </c>
      <c r="P2" s="7" t="s">
        <v>28</v>
      </c>
      <c r="Q2" s="7" t="s">
        <v>29</v>
      </c>
      <c r="R2" s="7" t="s">
        <v>31</v>
      </c>
      <c r="S2" s="7" t="s">
        <v>32</v>
      </c>
      <c r="T2" s="7" t="s">
        <v>33</v>
      </c>
      <c r="U2" s="7" t="s">
        <v>34</v>
      </c>
      <c r="V2" s="7" t="s">
        <v>35</v>
      </c>
      <c r="W2" s="7" t="s">
        <v>36</v>
      </c>
      <c r="X2" s="7" t="s">
        <v>137</v>
      </c>
      <c r="Y2" s="7" t="s">
        <v>37</v>
      </c>
      <c r="Z2" s="7" t="s">
        <v>170</v>
      </c>
      <c r="AA2" s="10" t="s">
        <v>12</v>
      </c>
      <c r="AB2" s="10" t="s">
        <v>38</v>
      </c>
      <c r="AC2" s="7" t="s">
        <v>26</v>
      </c>
      <c r="AD2" s="7" t="s">
        <v>6095</v>
      </c>
      <c r="AE2" s="7" t="s">
        <v>6096</v>
      </c>
      <c r="AF2" s="7" t="s">
        <v>6097</v>
      </c>
      <c r="AG2" s="7" t="s">
        <v>6098</v>
      </c>
      <c r="AH2" s="7" t="s">
        <v>6099</v>
      </c>
      <c r="AI2" s="7" t="s">
        <v>6100</v>
      </c>
      <c r="AJ2" s="7" t="s">
        <v>6101</v>
      </c>
      <c r="AK2" s="7" t="s">
        <v>6102</v>
      </c>
      <c r="AL2" s="7" t="s">
        <v>6103</v>
      </c>
      <c r="AM2" s="7" t="s">
        <v>6104</v>
      </c>
      <c r="AN2" s="7" t="s">
        <v>6105</v>
      </c>
      <c r="AO2" s="7" t="s">
        <v>6106</v>
      </c>
      <c r="AP2" s="7" t="s">
        <v>6107</v>
      </c>
      <c r="AQ2" s="7" t="s">
        <v>6108</v>
      </c>
      <c r="AR2" s="7" t="s">
        <v>6109</v>
      </c>
      <c r="AS2" s="7" t="s">
        <v>6110</v>
      </c>
      <c r="AT2" s="7" t="s">
        <v>6111</v>
      </c>
      <c r="AU2" s="7" t="s">
        <v>6112</v>
      </c>
      <c r="AV2" s="7" t="s">
        <v>6113</v>
      </c>
      <c r="AW2" s="7" t="s">
        <v>6114</v>
      </c>
      <c r="AX2" s="7" t="s">
        <v>6115</v>
      </c>
      <c r="AY2" s="7" t="s">
        <v>6116</v>
      </c>
      <c r="AZ2" s="7" t="s">
        <v>6117</v>
      </c>
      <c r="BA2" s="7" t="s">
        <v>6118</v>
      </c>
      <c r="BB2" s="7" t="s">
        <v>6119</v>
      </c>
      <c r="BC2" s="7" t="s">
        <v>6120</v>
      </c>
      <c r="BD2" s="7" t="s">
        <v>6121</v>
      </c>
      <c r="BE2" s="7" t="s">
        <v>6122</v>
      </c>
      <c r="BF2" s="7" t="s">
        <v>6123</v>
      </c>
      <c r="BG2" s="7" t="s">
        <v>197</v>
      </c>
      <c r="BH2" s="7" t="s">
        <v>6124</v>
      </c>
      <c r="BI2" s="7" t="s">
        <v>6125</v>
      </c>
      <c r="BJ2" s="7" t="s">
        <v>6126</v>
      </c>
      <c r="BK2" s="7" t="s">
        <v>6127</v>
      </c>
      <c r="BL2" s="7" t="s">
        <v>6128</v>
      </c>
      <c r="BM2" s="7" t="s">
        <v>6129</v>
      </c>
      <c r="BN2" s="7" t="s">
        <v>6130</v>
      </c>
      <c r="BO2" s="7" t="s">
        <v>6131</v>
      </c>
    </row>
    <row r="3" spans="1:68" ht="15" customHeight="1" x14ac:dyDescent="0.25">
      <c r="A3" s="62" t="s">
        <v>224</v>
      </c>
      <c r="B3" s="63"/>
      <c r="C3" s="63"/>
      <c r="D3" s="64"/>
      <c r="E3" s="66"/>
      <c r="F3" s="102" t="str">
        <f>HYPERLINK("https://pbs.twimg.com/profile_images/1615590590976086019/7do14VJu_normal.jpg")</f>
        <v>https://pbs.twimg.com/profile_images/1615590590976086019/7do14VJu_normal.jpg</v>
      </c>
      <c r="G3" s="63"/>
      <c r="H3" s="67"/>
      <c r="I3" s="68"/>
      <c r="J3" s="68"/>
      <c r="K3" s="67" t="s">
        <v>7607</v>
      </c>
      <c r="L3" s="71"/>
      <c r="M3" s="72"/>
      <c r="N3" s="72"/>
      <c r="O3" s="73"/>
      <c r="P3" s="74"/>
      <c r="Q3" s="74"/>
      <c r="R3" s="46"/>
      <c r="S3" s="46"/>
      <c r="T3" s="46"/>
      <c r="U3" s="46"/>
      <c r="V3" s="47"/>
      <c r="W3" s="47"/>
      <c r="X3" s="48"/>
      <c r="Y3" s="47"/>
      <c r="Z3" s="47"/>
      <c r="AA3" s="69">
        <v>3</v>
      </c>
      <c r="AB3" s="69"/>
      <c r="AC3" s="70"/>
      <c r="AD3" s="76" t="s">
        <v>6483</v>
      </c>
      <c r="AE3" s="81" t="s">
        <v>5848</v>
      </c>
      <c r="AF3" s="76">
        <v>0</v>
      </c>
      <c r="AG3" s="76">
        <v>73</v>
      </c>
      <c r="AH3" s="76">
        <v>19</v>
      </c>
      <c r="AI3" s="76">
        <v>0</v>
      </c>
      <c r="AJ3" s="76">
        <v>199</v>
      </c>
      <c r="AK3" s="76">
        <v>14</v>
      </c>
      <c r="AL3" s="76" t="b">
        <v>0</v>
      </c>
      <c r="AM3" s="78">
        <v>44907.123657407406</v>
      </c>
      <c r="AN3" s="76" t="s">
        <v>6675</v>
      </c>
      <c r="AO3" s="76" t="s">
        <v>6998</v>
      </c>
      <c r="AP3" s="76"/>
      <c r="AQ3" s="76"/>
      <c r="AR3" s="76"/>
      <c r="AS3" s="76"/>
      <c r="AT3" s="76"/>
      <c r="AU3" s="76"/>
      <c r="AV3" s="76"/>
      <c r="AW3" s="76"/>
      <c r="AX3" s="76" t="b">
        <v>0</v>
      </c>
      <c r="AY3" s="76"/>
      <c r="AZ3" s="76"/>
      <c r="BA3" s="76" t="b">
        <v>0</v>
      </c>
      <c r="BB3" s="76" t="b">
        <v>1</v>
      </c>
      <c r="BC3" s="76" t="b">
        <v>1</v>
      </c>
      <c r="BD3" s="76" t="b">
        <v>0</v>
      </c>
      <c r="BE3" s="76" t="b">
        <v>0</v>
      </c>
      <c r="BF3" s="76" t="b">
        <v>0</v>
      </c>
      <c r="BG3" s="76" t="b">
        <v>0</v>
      </c>
      <c r="BH3" s="76"/>
      <c r="BI3" s="76"/>
      <c r="BJ3" s="76" t="s">
        <v>7245</v>
      </c>
      <c r="BK3" s="76" t="b">
        <v>0</v>
      </c>
      <c r="BL3" s="76"/>
      <c r="BM3" s="76" t="s">
        <v>66</v>
      </c>
      <c r="BN3" s="76" t="s">
        <v>7247</v>
      </c>
      <c r="BO3" s="83" t="str">
        <f>HYPERLINK("https://twitter.com/menteblindados")</f>
        <v>https://twitter.com/menteblindados</v>
      </c>
    </row>
    <row r="4" spans="1:68" x14ac:dyDescent="0.25">
      <c r="A4" s="62" t="s">
        <v>582</v>
      </c>
      <c r="B4" s="63"/>
      <c r="C4" s="63"/>
      <c r="D4" s="64"/>
      <c r="E4" s="66"/>
      <c r="F4" s="102" t="str">
        <f>HYPERLINK("https://abs.twimg.com/sticky/default_profile_images/default_profile_normal.png")</f>
        <v>https://abs.twimg.com/sticky/default_profile_images/default_profile_normal.png</v>
      </c>
      <c r="G4" s="63"/>
      <c r="H4" s="67"/>
      <c r="I4" s="68"/>
      <c r="J4" s="68"/>
      <c r="K4" s="67" t="s">
        <v>7248</v>
      </c>
      <c r="L4" s="71"/>
      <c r="M4" s="72"/>
      <c r="N4" s="72"/>
      <c r="O4" s="73"/>
      <c r="P4" s="74"/>
      <c r="Q4" s="74"/>
      <c r="R4" s="86"/>
      <c r="S4" s="86"/>
      <c r="T4" s="86"/>
      <c r="U4" s="86"/>
      <c r="V4" s="48"/>
      <c r="W4" s="48"/>
      <c r="X4" s="48"/>
      <c r="Y4" s="48"/>
      <c r="Z4" s="47"/>
      <c r="AA4" s="69">
        <v>4</v>
      </c>
      <c r="AB4" s="69"/>
      <c r="AC4" s="70"/>
      <c r="AD4" s="76" t="s">
        <v>6132</v>
      </c>
      <c r="AE4" s="81" t="s">
        <v>6484</v>
      </c>
      <c r="AF4" s="76">
        <v>0</v>
      </c>
      <c r="AG4" s="76">
        <v>4</v>
      </c>
      <c r="AH4" s="76">
        <v>1</v>
      </c>
      <c r="AI4" s="76">
        <v>1</v>
      </c>
      <c r="AJ4" s="76">
        <v>2</v>
      </c>
      <c r="AK4" s="76">
        <v>0</v>
      </c>
      <c r="AL4" s="76" t="b">
        <v>0</v>
      </c>
      <c r="AM4" s="78">
        <v>39899.971215277779</v>
      </c>
      <c r="AN4" s="76" t="s">
        <v>6559</v>
      </c>
      <c r="AO4" s="76"/>
      <c r="AP4" s="76"/>
      <c r="AQ4" s="76"/>
      <c r="AR4" s="76"/>
      <c r="AS4" s="76"/>
      <c r="AT4" s="76"/>
      <c r="AU4" s="76"/>
      <c r="AV4" s="76"/>
      <c r="AW4" s="76"/>
      <c r="AX4" s="76" t="b">
        <v>0</v>
      </c>
      <c r="AY4" s="76"/>
      <c r="AZ4" s="76"/>
      <c r="BA4" s="76" t="b">
        <v>0</v>
      </c>
      <c r="BB4" s="76" t="b">
        <v>0</v>
      </c>
      <c r="BC4" s="76" t="b">
        <v>1</v>
      </c>
      <c r="BD4" s="76" t="b">
        <v>1</v>
      </c>
      <c r="BE4" s="76" t="b">
        <v>0</v>
      </c>
      <c r="BF4" s="76" t="b">
        <v>0</v>
      </c>
      <c r="BG4" s="76" t="b">
        <v>0</v>
      </c>
      <c r="BH4" s="76"/>
      <c r="BI4" s="76"/>
      <c r="BJ4" s="76" t="s">
        <v>7245</v>
      </c>
      <c r="BK4" s="76" t="b">
        <v>0</v>
      </c>
      <c r="BL4" s="76"/>
      <c r="BM4" s="76" t="s">
        <v>65</v>
      </c>
      <c r="BN4" s="76" t="s">
        <v>7247</v>
      </c>
      <c r="BO4" s="83" t="str">
        <f>HYPERLINK("https://twitter.com/mente")</f>
        <v>https://twitter.com/mente</v>
      </c>
      <c r="BP4" s="2"/>
    </row>
    <row r="5" spans="1:68" x14ac:dyDescent="0.25">
      <c r="A5" s="62" t="s">
        <v>225</v>
      </c>
      <c r="B5" s="63"/>
      <c r="C5" s="63"/>
      <c r="D5" s="64"/>
      <c r="E5" s="66"/>
      <c r="F5" s="102" t="str">
        <f>HYPERLINK("https://pbs.twimg.com/profile_images/1674078476616323072/gjYRjmaG_normal.png")</f>
        <v>https://pbs.twimg.com/profile_images/1674078476616323072/gjYRjmaG_normal.png</v>
      </c>
      <c r="G5" s="63"/>
      <c r="H5" s="67"/>
      <c r="I5" s="68"/>
      <c r="J5" s="68"/>
      <c r="K5" s="67" t="s">
        <v>7249</v>
      </c>
      <c r="L5" s="71"/>
      <c r="M5" s="72"/>
      <c r="N5" s="72"/>
      <c r="O5" s="73"/>
      <c r="P5" s="74"/>
      <c r="Q5" s="74"/>
      <c r="R5" s="86"/>
      <c r="S5" s="86"/>
      <c r="T5" s="86"/>
      <c r="U5" s="86"/>
      <c r="V5" s="48"/>
      <c r="W5" s="48"/>
      <c r="X5" s="48"/>
      <c r="Y5" s="48"/>
      <c r="Z5" s="47"/>
      <c r="AA5" s="69">
        <v>5</v>
      </c>
      <c r="AB5" s="69"/>
      <c r="AC5" s="70"/>
      <c r="AD5" s="76" t="s">
        <v>6133</v>
      </c>
      <c r="AE5" s="81" t="s">
        <v>5849</v>
      </c>
      <c r="AF5" s="76">
        <v>0</v>
      </c>
      <c r="AG5" s="76">
        <v>12</v>
      </c>
      <c r="AH5" s="76">
        <v>31</v>
      </c>
      <c r="AI5" s="76">
        <v>0</v>
      </c>
      <c r="AJ5" s="76">
        <v>24</v>
      </c>
      <c r="AK5" s="76">
        <v>1</v>
      </c>
      <c r="AL5" s="76" t="b">
        <v>0</v>
      </c>
      <c r="AM5" s="78">
        <v>45105.647974537038</v>
      </c>
      <c r="AN5" s="76"/>
      <c r="AO5" s="76" t="s">
        <v>6676</v>
      </c>
      <c r="AP5" s="76"/>
      <c r="AQ5" s="76"/>
      <c r="AR5" s="76"/>
      <c r="AS5" s="76"/>
      <c r="AT5" s="76"/>
      <c r="AU5" s="76"/>
      <c r="AV5" s="76"/>
      <c r="AW5" s="76"/>
      <c r="AX5" s="76" t="b">
        <v>0</v>
      </c>
      <c r="AY5" s="76"/>
      <c r="AZ5" s="76"/>
      <c r="BA5" s="76" t="b">
        <v>0</v>
      </c>
      <c r="BB5" s="76" t="b">
        <v>1</v>
      </c>
      <c r="BC5" s="76" t="b">
        <v>1</v>
      </c>
      <c r="BD5" s="76" t="b">
        <v>0</v>
      </c>
      <c r="BE5" s="76" t="b">
        <v>0</v>
      </c>
      <c r="BF5" s="76" t="b">
        <v>0</v>
      </c>
      <c r="BG5" s="76" t="b">
        <v>0</v>
      </c>
      <c r="BH5" s="76"/>
      <c r="BI5" s="76"/>
      <c r="BJ5" s="76" t="s">
        <v>7245</v>
      </c>
      <c r="BK5" s="76" t="b">
        <v>0</v>
      </c>
      <c r="BL5" s="76"/>
      <c r="BM5" s="76" t="s">
        <v>66</v>
      </c>
      <c r="BN5" s="76" t="s">
        <v>7247</v>
      </c>
      <c r="BO5" s="83" t="str">
        <f>HYPERLINK("https://twitter.com/thiagoireland")</f>
        <v>https://twitter.com/thiagoireland</v>
      </c>
      <c r="BP5" s="2"/>
    </row>
    <row r="6" spans="1:68" x14ac:dyDescent="0.25">
      <c r="A6" s="62" t="s">
        <v>226</v>
      </c>
      <c r="B6" s="63"/>
      <c r="C6" s="63"/>
      <c r="D6" s="64"/>
      <c r="E6" s="66"/>
      <c r="F6" s="102" t="str">
        <f>HYPERLINK("https://pbs.twimg.com/profile_images/1618722110024683520/7MNJHqEw_normal.jpg")</f>
        <v>https://pbs.twimg.com/profile_images/1618722110024683520/7MNJHqEw_normal.jpg</v>
      </c>
      <c r="G6" s="63"/>
      <c r="H6" s="67"/>
      <c r="I6" s="68"/>
      <c r="J6" s="68"/>
      <c r="K6" s="67" t="s">
        <v>7250</v>
      </c>
      <c r="L6" s="71"/>
      <c r="M6" s="72"/>
      <c r="N6" s="72"/>
      <c r="O6" s="73"/>
      <c r="P6" s="74"/>
      <c r="Q6" s="74"/>
      <c r="R6" s="86"/>
      <c r="S6" s="86"/>
      <c r="T6" s="86"/>
      <c r="U6" s="86"/>
      <c r="V6" s="48"/>
      <c r="W6" s="48"/>
      <c r="X6" s="48"/>
      <c r="Y6" s="48"/>
      <c r="Z6" s="47"/>
      <c r="AA6" s="69">
        <v>6</v>
      </c>
      <c r="AB6" s="69"/>
      <c r="AC6" s="70"/>
      <c r="AD6" s="76" t="s">
        <v>6134</v>
      </c>
      <c r="AE6" s="81" t="s">
        <v>5850</v>
      </c>
      <c r="AF6" s="76">
        <v>0</v>
      </c>
      <c r="AG6" s="76">
        <v>1</v>
      </c>
      <c r="AH6" s="76">
        <v>1</v>
      </c>
      <c r="AI6" s="76">
        <v>0</v>
      </c>
      <c r="AJ6" s="76">
        <v>0</v>
      </c>
      <c r="AK6" s="76">
        <v>1</v>
      </c>
      <c r="AL6" s="76" t="b">
        <v>0</v>
      </c>
      <c r="AM6" s="78">
        <v>44952.893159722225</v>
      </c>
      <c r="AN6" s="76"/>
      <c r="AO6" s="76"/>
      <c r="AP6" s="76"/>
      <c r="AQ6" s="76"/>
      <c r="AR6" s="76"/>
      <c r="AS6" s="76"/>
      <c r="AT6" s="76"/>
      <c r="AU6" s="76"/>
      <c r="AV6" s="76"/>
      <c r="AW6" s="76"/>
      <c r="AX6" s="76" t="b">
        <v>0</v>
      </c>
      <c r="AY6" s="76"/>
      <c r="AZ6" s="76"/>
      <c r="BA6" s="76" t="b">
        <v>0</v>
      </c>
      <c r="BB6" s="76" t="b">
        <v>1</v>
      </c>
      <c r="BC6" s="76" t="b">
        <v>1</v>
      </c>
      <c r="BD6" s="76" t="b">
        <v>0</v>
      </c>
      <c r="BE6" s="76" t="b">
        <v>0</v>
      </c>
      <c r="BF6" s="76" t="b">
        <v>0</v>
      </c>
      <c r="BG6" s="76" t="b">
        <v>0</v>
      </c>
      <c r="BH6" s="76"/>
      <c r="BI6" s="76"/>
      <c r="BJ6" s="76" t="s">
        <v>7245</v>
      </c>
      <c r="BK6" s="76" t="b">
        <v>0</v>
      </c>
      <c r="BL6" s="76"/>
      <c r="BM6" s="76" t="s">
        <v>66</v>
      </c>
      <c r="BN6" s="76" t="s">
        <v>7247</v>
      </c>
      <c r="BO6" s="83" t="str">
        <f>HYPERLINK("https://twitter.com/jhonatanlima0")</f>
        <v>https://twitter.com/jhonatanlima0</v>
      </c>
      <c r="BP6" s="2"/>
    </row>
    <row r="7" spans="1:68" x14ac:dyDescent="0.25">
      <c r="A7" s="62" t="s">
        <v>227</v>
      </c>
      <c r="B7" s="63"/>
      <c r="C7" s="63"/>
      <c r="D7" s="64"/>
      <c r="E7" s="66"/>
      <c r="F7" s="102" t="str">
        <f>HYPERLINK("https://pbs.twimg.com/profile_images/1665081532455821312/Yh2qs3r3_normal.jpg")</f>
        <v>https://pbs.twimg.com/profile_images/1665081532455821312/Yh2qs3r3_normal.jpg</v>
      </c>
      <c r="G7" s="63"/>
      <c r="H7" s="67"/>
      <c r="I7" s="68"/>
      <c r="J7" s="68"/>
      <c r="K7" s="67" t="s">
        <v>7251</v>
      </c>
      <c r="L7" s="71"/>
      <c r="M7" s="72"/>
      <c r="N7" s="72"/>
      <c r="O7" s="73"/>
      <c r="P7" s="74"/>
      <c r="Q7" s="74"/>
      <c r="R7" s="86"/>
      <c r="S7" s="86"/>
      <c r="T7" s="86"/>
      <c r="U7" s="86"/>
      <c r="V7" s="48"/>
      <c r="W7" s="48"/>
      <c r="X7" s="48"/>
      <c r="Y7" s="48"/>
      <c r="Z7" s="47"/>
      <c r="AA7" s="69">
        <v>7</v>
      </c>
      <c r="AB7" s="69"/>
      <c r="AC7" s="70"/>
      <c r="AD7" s="76" t="s">
        <v>6135</v>
      </c>
      <c r="AE7" s="81" t="s">
        <v>5851</v>
      </c>
      <c r="AF7" s="76">
        <v>106422</v>
      </c>
      <c r="AG7" s="76">
        <v>0</v>
      </c>
      <c r="AH7" s="76">
        <v>487</v>
      </c>
      <c r="AI7" s="76">
        <v>60</v>
      </c>
      <c r="AJ7" s="76">
        <v>195</v>
      </c>
      <c r="AK7" s="76">
        <v>264</v>
      </c>
      <c r="AL7" s="76" t="b">
        <v>0</v>
      </c>
      <c r="AM7" s="78">
        <v>43953.634398148148</v>
      </c>
      <c r="AN7" s="76" t="s">
        <v>3752</v>
      </c>
      <c r="AO7" s="76" t="s">
        <v>6677</v>
      </c>
      <c r="AP7" s="83" t="str">
        <f>HYPERLINK("https://t.co/Qsy3zizQUp")</f>
        <v>https://t.co/Qsy3zizQUp</v>
      </c>
      <c r="AQ7" s="83" t="str">
        <f>HYPERLINK("https://www.amazon.com.br/dp/B07PN1MF14")</f>
        <v>https://www.amazon.com.br/dp/B07PN1MF14</v>
      </c>
      <c r="AR7" s="76" t="s">
        <v>6999</v>
      </c>
      <c r="AS7" s="76"/>
      <c r="AT7" s="76"/>
      <c r="AU7" s="76"/>
      <c r="AV7" s="76">
        <v>1.6667696975665999E+18</v>
      </c>
      <c r="AW7" s="83" t="str">
        <f>HYPERLINK("https://t.co/Qsy3zizQUp")</f>
        <v>https://t.co/Qsy3zizQUp</v>
      </c>
      <c r="AX7" s="76" t="b">
        <v>1</v>
      </c>
      <c r="AY7" s="76"/>
      <c r="AZ7" s="76"/>
      <c r="BA7" s="76" t="b">
        <v>0</v>
      </c>
      <c r="BB7" s="76" t="b">
        <v>0</v>
      </c>
      <c r="BC7" s="76" t="b">
        <v>1</v>
      </c>
      <c r="BD7" s="76" t="b">
        <v>0</v>
      </c>
      <c r="BE7" s="76" t="b">
        <v>1</v>
      </c>
      <c r="BF7" s="76" t="b">
        <v>0</v>
      </c>
      <c r="BG7" s="76" t="b">
        <v>0</v>
      </c>
      <c r="BH7" s="83" t="str">
        <f>HYPERLINK("https://pbs.twimg.com/profile_banners/1256602692220260355/1685821170")</f>
        <v>https://pbs.twimg.com/profile_banners/1256602692220260355/1685821170</v>
      </c>
      <c r="BI7" s="76"/>
      <c r="BJ7" s="76" t="s">
        <v>7245</v>
      </c>
      <c r="BK7" s="76" t="b">
        <v>0</v>
      </c>
      <c r="BL7" s="76"/>
      <c r="BM7" s="76" t="s">
        <v>66</v>
      </c>
      <c r="BN7" s="76" t="s">
        <v>7247</v>
      </c>
      <c r="BO7" s="83" t="str">
        <f>HYPERLINK("https://twitter.com/mat_financeira")</f>
        <v>https://twitter.com/mat_financeira</v>
      </c>
      <c r="BP7" s="2"/>
    </row>
    <row r="8" spans="1:68" x14ac:dyDescent="0.25">
      <c r="A8" s="62" t="s">
        <v>228</v>
      </c>
      <c r="B8" s="63"/>
      <c r="C8" s="63"/>
      <c r="D8" s="64"/>
      <c r="E8" s="66"/>
      <c r="F8" s="102" t="str">
        <f>HYPERLINK("https://pbs.twimg.com/profile_images/1585206485218467840/kBjO1S7j_normal.jpg")</f>
        <v>https://pbs.twimg.com/profile_images/1585206485218467840/kBjO1S7j_normal.jpg</v>
      </c>
      <c r="G8" s="63"/>
      <c r="H8" s="67"/>
      <c r="I8" s="68"/>
      <c r="J8" s="68"/>
      <c r="K8" s="67" t="s">
        <v>7252</v>
      </c>
      <c r="L8" s="71"/>
      <c r="M8" s="72"/>
      <c r="N8" s="72"/>
      <c r="O8" s="73"/>
      <c r="P8" s="74"/>
      <c r="Q8" s="74"/>
      <c r="R8" s="86"/>
      <c r="S8" s="86"/>
      <c r="T8" s="86"/>
      <c r="U8" s="86"/>
      <c r="V8" s="48"/>
      <c r="W8" s="48"/>
      <c r="X8" s="48"/>
      <c r="Y8" s="48"/>
      <c r="Z8" s="47"/>
      <c r="AA8" s="69">
        <v>8</v>
      </c>
      <c r="AB8" s="69"/>
      <c r="AC8" s="70"/>
      <c r="AD8" s="76" t="s">
        <v>6136</v>
      </c>
      <c r="AE8" s="81" t="s">
        <v>5852</v>
      </c>
      <c r="AF8" s="76">
        <v>64</v>
      </c>
      <c r="AG8" s="76">
        <v>206</v>
      </c>
      <c r="AH8" s="76">
        <v>341</v>
      </c>
      <c r="AI8" s="76">
        <v>0</v>
      </c>
      <c r="AJ8" s="76">
        <v>102</v>
      </c>
      <c r="AK8" s="76">
        <v>54</v>
      </c>
      <c r="AL8" s="76" t="b">
        <v>0</v>
      </c>
      <c r="AM8" s="78">
        <v>44860.405486111114</v>
      </c>
      <c r="AN8" s="76" t="s">
        <v>6560</v>
      </c>
      <c r="AO8" s="76" t="s">
        <v>6678</v>
      </c>
      <c r="AP8" s="83" t="str">
        <f>HYPERLINK("https://t.co/B9aFBcTMNu")</f>
        <v>https://t.co/B9aFBcTMNu</v>
      </c>
      <c r="AQ8" s="83" t="str">
        <f>HYPERLINK("http://investoom.com")</f>
        <v>http://investoom.com</v>
      </c>
      <c r="AR8" s="76" t="s">
        <v>7000</v>
      </c>
      <c r="AS8" s="76"/>
      <c r="AT8" s="76"/>
      <c r="AU8" s="76"/>
      <c r="AV8" s="76"/>
      <c r="AW8" s="83" t="str">
        <f>HYPERLINK("https://t.co/B9aFBcTMNu")</f>
        <v>https://t.co/B9aFBcTMNu</v>
      </c>
      <c r="AX8" s="76" t="b">
        <v>0</v>
      </c>
      <c r="AY8" s="76"/>
      <c r="AZ8" s="76"/>
      <c r="BA8" s="76" t="b">
        <v>0</v>
      </c>
      <c r="BB8" s="76" t="b">
        <v>1</v>
      </c>
      <c r="BC8" s="76" t="b">
        <v>1</v>
      </c>
      <c r="BD8" s="76" t="b">
        <v>0</v>
      </c>
      <c r="BE8" s="76" t="b">
        <v>1</v>
      </c>
      <c r="BF8" s="76" t="b">
        <v>0</v>
      </c>
      <c r="BG8" s="76" t="b">
        <v>0</v>
      </c>
      <c r="BH8" s="76"/>
      <c r="BI8" s="76"/>
      <c r="BJ8" s="76" t="s">
        <v>7245</v>
      </c>
      <c r="BK8" s="76" t="b">
        <v>0</v>
      </c>
      <c r="BL8" s="76"/>
      <c r="BM8" s="76" t="s">
        <v>66</v>
      </c>
      <c r="BN8" s="76" t="s">
        <v>7247</v>
      </c>
      <c r="BO8" s="83" t="str">
        <f>HYPERLINK("https://twitter.com/investoom_com")</f>
        <v>https://twitter.com/investoom_com</v>
      </c>
      <c r="BP8" s="2"/>
    </row>
    <row r="9" spans="1:68" x14ac:dyDescent="0.25">
      <c r="A9" s="62" t="s">
        <v>229</v>
      </c>
      <c r="B9" s="63"/>
      <c r="C9" s="63"/>
      <c r="D9" s="64"/>
      <c r="E9" s="66"/>
      <c r="F9" s="102" t="str">
        <f>HYPERLINK("https://pbs.twimg.com/profile_images/1590431716413431809/HDCIqpkL_normal.png")</f>
        <v>https://pbs.twimg.com/profile_images/1590431716413431809/HDCIqpkL_normal.png</v>
      </c>
      <c r="G9" s="63"/>
      <c r="H9" s="67"/>
      <c r="I9" s="68"/>
      <c r="J9" s="68"/>
      <c r="K9" s="67" t="s">
        <v>7253</v>
      </c>
      <c r="L9" s="71"/>
      <c r="M9" s="72"/>
      <c r="N9" s="72"/>
      <c r="O9" s="73"/>
      <c r="P9" s="74"/>
      <c r="Q9" s="74"/>
      <c r="R9" s="86"/>
      <c r="S9" s="86"/>
      <c r="T9" s="86"/>
      <c r="U9" s="86"/>
      <c r="V9" s="48"/>
      <c r="W9" s="48"/>
      <c r="X9" s="48"/>
      <c r="Y9" s="48"/>
      <c r="Z9" s="47"/>
      <c r="AA9" s="69">
        <v>9</v>
      </c>
      <c r="AB9" s="69"/>
      <c r="AC9" s="70"/>
      <c r="AD9" s="76" t="s">
        <v>6137</v>
      </c>
      <c r="AE9" s="81" t="s">
        <v>5853</v>
      </c>
      <c r="AF9" s="76">
        <v>4</v>
      </c>
      <c r="AG9" s="76">
        <v>64</v>
      </c>
      <c r="AH9" s="76">
        <v>77</v>
      </c>
      <c r="AI9" s="76">
        <v>1</v>
      </c>
      <c r="AJ9" s="76">
        <v>65</v>
      </c>
      <c r="AK9" s="76">
        <v>10</v>
      </c>
      <c r="AL9" s="76" t="b">
        <v>0</v>
      </c>
      <c r="AM9" s="78">
        <v>44874.826898148145</v>
      </c>
      <c r="AN9" s="76" t="s">
        <v>3758</v>
      </c>
      <c r="AO9" s="76" t="s">
        <v>6679</v>
      </c>
      <c r="AP9" s="76"/>
      <c r="AQ9" s="76"/>
      <c r="AR9" s="76"/>
      <c r="AS9" s="76"/>
      <c r="AT9" s="76"/>
      <c r="AU9" s="76"/>
      <c r="AV9" s="76"/>
      <c r="AW9" s="76"/>
      <c r="AX9" s="76" t="b">
        <v>0</v>
      </c>
      <c r="AY9" s="76"/>
      <c r="AZ9" s="76"/>
      <c r="BA9" s="76" t="b">
        <v>0</v>
      </c>
      <c r="BB9" s="76" t="b">
        <v>1</v>
      </c>
      <c r="BC9" s="76" t="b">
        <v>1</v>
      </c>
      <c r="BD9" s="76" t="b">
        <v>0</v>
      </c>
      <c r="BE9" s="76" t="b">
        <v>1</v>
      </c>
      <c r="BF9" s="76" t="b">
        <v>0</v>
      </c>
      <c r="BG9" s="76" t="b">
        <v>0</v>
      </c>
      <c r="BH9" s="83" t="str">
        <f>HYPERLINK("https://pbs.twimg.com/profile_banners/1590431370421100546/1676298553")</f>
        <v>https://pbs.twimg.com/profile_banners/1590431370421100546/1676298553</v>
      </c>
      <c r="BI9" s="76"/>
      <c r="BJ9" s="76" t="s">
        <v>7245</v>
      </c>
      <c r="BK9" s="76" t="b">
        <v>0</v>
      </c>
      <c r="BL9" s="76"/>
      <c r="BM9" s="76" t="s">
        <v>66</v>
      </c>
      <c r="BN9" s="76" t="s">
        <v>7247</v>
      </c>
      <c r="BO9" s="83" t="str">
        <f>HYPERLINK("https://twitter.com/ronysampaioadm")</f>
        <v>https://twitter.com/ronysampaioadm</v>
      </c>
      <c r="BP9" s="2"/>
    </row>
    <row r="10" spans="1:68" x14ac:dyDescent="0.25">
      <c r="A10" s="62" t="s">
        <v>230</v>
      </c>
      <c r="B10" s="63"/>
      <c r="C10" s="63"/>
      <c r="D10" s="64"/>
      <c r="E10" s="66"/>
      <c r="F10" s="102" t="str">
        <f>HYPERLINK("https://pbs.twimg.com/profile_images/1701803456984666112/8AMNlLIm_normal.jpg")</f>
        <v>https://pbs.twimg.com/profile_images/1701803456984666112/8AMNlLIm_normal.jpg</v>
      </c>
      <c r="G10" s="63"/>
      <c r="H10" s="67"/>
      <c r="I10" s="68"/>
      <c r="J10" s="68"/>
      <c r="K10" s="67" t="s">
        <v>7254</v>
      </c>
      <c r="L10" s="71"/>
      <c r="M10" s="72"/>
      <c r="N10" s="72"/>
      <c r="O10" s="73"/>
      <c r="P10" s="74"/>
      <c r="Q10" s="74"/>
      <c r="R10" s="86"/>
      <c r="S10" s="86"/>
      <c r="T10" s="86"/>
      <c r="U10" s="86"/>
      <c r="V10" s="48"/>
      <c r="W10" s="48"/>
      <c r="X10" s="48"/>
      <c r="Y10" s="48"/>
      <c r="Z10" s="47"/>
      <c r="AA10" s="69">
        <v>10</v>
      </c>
      <c r="AB10" s="69"/>
      <c r="AC10" s="70"/>
      <c r="AD10" s="76" t="s">
        <v>6138</v>
      </c>
      <c r="AE10" s="81" t="s">
        <v>5854</v>
      </c>
      <c r="AF10" s="76">
        <v>0</v>
      </c>
      <c r="AG10" s="76">
        <v>14</v>
      </c>
      <c r="AH10" s="76">
        <v>6</v>
      </c>
      <c r="AI10" s="76">
        <v>0</v>
      </c>
      <c r="AJ10" s="76">
        <v>1</v>
      </c>
      <c r="AK10" s="76">
        <v>6</v>
      </c>
      <c r="AL10" s="76" t="b">
        <v>0</v>
      </c>
      <c r="AM10" s="78">
        <v>45182.154097222221</v>
      </c>
      <c r="AN10" s="76"/>
      <c r="AO10" s="76" t="s">
        <v>6680</v>
      </c>
      <c r="AP10" s="83" t="str">
        <f>HYPERLINK("https://t.co/X2O8tdisEc")</f>
        <v>https://t.co/X2O8tdisEc</v>
      </c>
      <c r="AQ10" s="83" t="str">
        <f>HYPERLINK("https://youtube.com/@financeinfohindi?si=mgJyzpuue-SvxIU7")</f>
        <v>https://youtube.com/@financeinfohindi?si=mgJyzpuue-SvxIU7</v>
      </c>
      <c r="AR10" s="76" t="s">
        <v>7001</v>
      </c>
      <c r="AS10" s="76"/>
      <c r="AT10" s="76"/>
      <c r="AU10" s="76"/>
      <c r="AV10" s="76"/>
      <c r="AW10" s="83" t="str">
        <f>HYPERLINK("https://t.co/X2O8tdisEc")</f>
        <v>https://t.co/X2O8tdisEc</v>
      </c>
      <c r="AX10" s="76" t="b">
        <v>0</v>
      </c>
      <c r="AY10" s="76"/>
      <c r="AZ10" s="76"/>
      <c r="BA10" s="76" t="b">
        <v>0</v>
      </c>
      <c r="BB10" s="76" t="b">
        <v>1</v>
      </c>
      <c r="BC10" s="76" t="b">
        <v>1</v>
      </c>
      <c r="BD10" s="76" t="b">
        <v>0</v>
      </c>
      <c r="BE10" s="76" t="b">
        <v>0</v>
      </c>
      <c r="BF10" s="76" t="b">
        <v>0</v>
      </c>
      <c r="BG10" s="76" t="b">
        <v>0</v>
      </c>
      <c r="BH10" s="76"/>
      <c r="BI10" s="76"/>
      <c r="BJ10" s="76" t="s">
        <v>7245</v>
      </c>
      <c r="BK10" s="76" t="b">
        <v>0</v>
      </c>
      <c r="BL10" s="76"/>
      <c r="BM10" s="76" t="s">
        <v>66</v>
      </c>
      <c r="BN10" s="76" t="s">
        <v>7247</v>
      </c>
      <c r="BO10" s="83" t="str">
        <f>HYPERLINK("https://twitter.com/infohindi009")</f>
        <v>https://twitter.com/infohindi009</v>
      </c>
      <c r="BP10" s="2"/>
    </row>
    <row r="11" spans="1:68" x14ac:dyDescent="0.25">
      <c r="A11" s="62" t="s">
        <v>231</v>
      </c>
      <c r="B11" s="63"/>
      <c r="C11" s="63"/>
      <c r="D11" s="64"/>
      <c r="E11" s="66"/>
      <c r="F11" s="102" t="str">
        <f>HYPERLINK("https://pbs.twimg.com/profile_images/1672716244053549056/wXs3z-lK_normal.jpg")</f>
        <v>https://pbs.twimg.com/profile_images/1672716244053549056/wXs3z-lK_normal.jpg</v>
      </c>
      <c r="G11" s="63"/>
      <c r="H11" s="67"/>
      <c r="I11" s="68"/>
      <c r="J11" s="68"/>
      <c r="K11" s="67" t="s">
        <v>7255</v>
      </c>
      <c r="L11" s="71"/>
      <c r="M11" s="72"/>
      <c r="N11" s="72"/>
      <c r="O11" s="73"/>
      <c r="P11" s="74"/>
      <c r="Q11" s="74"/>
      <c r="R11" s="86"/>
      <c r="S11" s="86"/>
      <c r="T11" s="86"/>
      <c r="U11" s="86"/>
      <c r="V11" s="48"/>
      <c r="W11" s="48"/>
      <c r="X11" s="48"/>
      <c r="Y11" s="48"/>
      <c r="Z11" s="47"/>
      <c r="AA11" s="69">
        <v>11</v>
      </c>
      <c r="AB11" s="69"/>
      <c r="AC11" s="70"/>
      <c r="AD11" s="76" t="s">
        <v>6139</v>
      </c>
      <c r="AE11" s="81" t="s">
        <v>5855</v>
      </c>
      <c r="AF11" s="76">
        <v>19</v>
      </c>
      <c r="AG11" s="76">
        <v>30</v>
      </c>
      <c r="AH11" s="76">
        <v>114</v>
      </c>
      <c r="AI11" s="76">
        <v>0</v>
      </c>
      <c r="AJ11" s="76">
        <v>0</v>
      </c>
      <c r="AK11" s="76">
        <v>23</v>
      </c>
      <c r="AL11" s="76" t="b">
        <v>0</v>
      </c>
      <c r="AM11" s="78">
        <v>43424.488726851851</v>
      </c>
      <c r="AN11" s="76" t="s">
        <v>6561</v>
      </c>
      <c r="AO11" s="76" t="s">
        <v>6681</v>
      </c>
      <c r="AP11" s="83" t="str">
        <f>HYPERLINK("https://t.co/guNpOTN0TT")</f>
        <v>https://t.co/guNpOTN0TT</v>
      </c>
      <c r="AQ11" s="83" t="str">
        <f>HYPERLINK("http://www.agcontador.com")</f>
        <v>http://www.agcontador.com</v>
      </c>
      <c r="AR11" s="76" t="s">
        <v>7002</v>
      </c>
      <c r="AS11" s="76"/>
      <c r="AT11" s="76"/>
      <c r="AU11" s="76"/>
      <c r="AV11" s="76"/>
      <c r="AW11" s="83" t="str">
        <f>HYPERLINK("https://t.co/guNpOTN0TT")</f>
        <v>https://t.co/guNpOTN0TT</v>
      </c>
      <c r="AX11" s="76" t="b">
        <v>0</v>
      </c>
      <c r="AY11" s="76"/>
      <c r="AZ11" s="76"/>
      <c r="BA11" s="76" t="b">
        <v>0</v>
      </c>
      <c r="BB11" s="76" t="b">
        <v>1</v>
      </c>
      <c r="BC11" s="76" t="b">
        <v>1</v>
      </c>
      <c r="BD11" s="76" t="b">
        <v>0</v>
      </c>
      <c r="BE11" s="76" t="b">
        <v>0</v>
      </c>
      <c r="BF11" s="76" t="b">
        <v>0</v>
      </c>
      <c r="BG11" s="76" t="b">
        <v>0</v>
      </c>
      <c r="BH11" s="83" t="str">
        <f>HYPERLINK("https://pbs.twimg.com/profile_banners/1064846760353386497/1687641616")</f>
        <v>https://pbs.twimg.com/profile_banners/1064846760353386497/1687641616</v>
      </c>
      <c r="BI11" s="76"/>
      <c r="BJ11" s="76" t="s">
        <v>7245</v>
      </c>
      <c r="BK11" s="76" t="b">
        <v>0</v>
      </c>
      <c r="BL11" s="76"/>
      <c r="BM11" s="76" t="s">
        <v>66</v>
      </c>
      <c r="BN11" s="76" t="s">
        <v>7247</v>
      </c>
      <c r="BO11" s="83" t="str">
        <f>HYPERLINK("https://twitter.com/agcontador_")</f>
        <v>https://twitter.com/agcontador_</v>
      </c>
      <c r="BP11" s="2"/>
    </row>
    <row r="12" spans="1:68" x14ac:dyDescent="0.25">
      <c r="A12" s="62" t="s">
        <v>232</v>
      </c>
      <c r="B12" s="63"/>
      <c r="C12" s="63"/>
      <c r="D12" s="64"/>
      <c r="E12" s="66"/>
      <c r="F12" s="102" t="str">
        <f>HYPERLINK("https://pbs.twimg.com/profile_images/1479053574629998596/PRt7qsWa_normal.jpg")</f>
        <v>https://pbs.twimg.com/profile_images/1479053574629998596/PRt7qsWa_normal.jpg</v>
      </c>
      <c r="G12" s="63"/>
      <c r="H12" s="67"/>
      <c r="I12" s="68"/>
      <c r="J12" s="68"/>
      <c r="K12" s="67" t="s">
        <v>7256</v>
      </c>
      <c r="L12" s="71"/>
      <c r="M12" s="72"/>
      <c r="N12" s="72"/>
      <c r="O12" s="73"/>
      <c r="P12" s="74"/>
      <c r="Q12" s="74"/>
      <c r="R12" s="86"/>
      <c r="S12" s="86"/>
      <c r="T12" s="86"/>
      <c r="U12" s="86"/>
      <c r="V12" s="48"/>
      <c r="W12" s="48"/>
      <c r="X12" s="48"/>
      <c r="Y12" s="48"/>
      <c r="Z12" s="47"/>
      <c r="AA12" s="69">
        <v>12</v>
      </c>
      <c r="AB12" s="69"/>
      <c r="AC12" s="70"/>
      <c r="AD12" s="76" t="s">
        <v>6140</v>
      </c>
      <c r="AE12" s="81" t="s">
        <v>5856</v>
      </c>
      <c r="AF12" s="76">
        <v>533</v>
      </c>
      <c r="AG12" s="76">
        <v>1068</v>
      </c>
      <c r="AH12" s="76">
        <v>8349</v>
      </c>
      <c r="AI12" s="76">
        <v>1</v>
      </c>
      <c r="AJ12" s="76">
        <v>925</v>
      </c>
      <c r="AK12" s="76">
        <v>4611</v>
      </c>
      <c r="AL12" s="76" t="b">
        <v>0</v>
      </c>
      <c r="AM12" s="78">
        <v>44567.481782407405</v>
      </c>
      <c r="AN12" s="76" t="s">
        <v>6562</v>
      </c>
      <c r="AO12" s="76" t="s">
        <v>6682</v>
      </c>
      <c r="AP12" s="76"/>
      <c r="AQ12" s="76"/>
      <c r="AR12" s="76"/>
      <c r="AS12" s="76"/>
      <c r="AT12" s="76"/>
      <c r="AU12" s="76"/>
      <c r="AV12" s="76"/>
      <c r="AW12" s="76"/>
      <c r="AX12" s="76" t="b">
        <v>0</v>
      </c>
      <c r="AY12" s="76"/>
      <c r="AZ12" s="76"/>
      <c r="BA12" s="76" t="b">
        <v>0</v>
      </c>
      <c r="BB12" s="76" t="b">
        <v>1</v>
      </c>
      <c r="BC12" s="76" t="b">
        <v>1</v>
      </c>
      <c r="BD12" s="76" t="b">
        <v>0</v>
      </c>
      <c r="BE12" s="76" t="b">
        <v>1</v>
      </c>
      <c r="BF12" s="76" t="b">
        <v>0</v>
      </c>
      <c r="BG12" s="76" t="b">
        <v>0</v>
      </c>
      <c r="BH12" s="83" t="str">
        <f>HYPERLINK("https://pbs.twimg.com/profile_banners/1479053296572768257/1641470061")</f>
        <v>https://pbs.twimg.com/profile_banners/1479053296572768257/1641470061</v>
      </c>
      <c r="BI12" s="76"/>
      <c r="BJ12" s="76" t="s">
        <v>7245</v>
      </c>
      <c r="BK12" s="76" t="b">
        <v>0</v>
      </c>
      <c r="BL12" s="76"/>
      <c r="BM12" s="76" t="s">
        <v>66</v>
      </c>
      <c r="BN12" s="76" t="s">
        <v>7247</v>
      </c>
      <c r="BO12" s="83" t="str">
        <f>HYPERLINK("https://twitter.com/radio_boreal")</f>
        <v>https://twitter.com/radio_boreal</v>
      </c>
      <c r="BP12" s="2"/>
    </row>
    <row r="13" spans="1:68" x14ac:dyDescent="0.25">
      <c r="A13" s="62" t="s">
        <v>233</v>
      </c>
      <c r="B13" s="63"/>
      <c r="C13" s="63"/>
      <c r="D13" s="64"/>
      <c r="E13" s="66"/>
      <c r="F13" s="102" t="str">
        <f>HYPERLINK("https://pbs.twimg.com/profile_images/1533150462186295300/XvsnzVW9_normal.jpg")</f>
        <v>https://pbs.twimg.com/profile_images/1533150462186295300/XvsnzVW9_normal.jpg</v>
      </c>
      <c r="G13" s="63"/>
      <c r="H13" s="67"/>
      <c r="I13" s="68"/>
      <c r="J13" s="68"/>
      <c r="K13" s="67" t="s">
        <v>7257</v>
      </c>
      <c r="L13" s="71"/>
      <c r="M13" s="72"/>
      <c r="N13" s="72"/>
      <c r="O13" s="73"/>
      <c r="P13" s="74"/>
      <c r="Q13" s="74"/>
      <c r="R13" s="86"/>
      <c r="S13" s="86"/>
      <c r="T13" s="86"/>
      <c r="U13" s="86"/>
      <c r="V13" s="48"/>
      <c r="W13" s="48"/>
      <c r="X13" s="48"/>
      <c r="Y13" s="48"/>
      <c r="Z13" s="47"/>
      <c r="AA13" s="69">
        <v>13</v>
      </c>
      <c r="AB13" s="69"/>
      <c r="AC13" s="70"/>
      <c r="AD13" s="76" t="s">
        <v>6141</v>
      </c>
      <c r="AE13" s="81" t="s">
        <v>5577</v>
      </c>
      <c r="AF13" s="76">
        <v>6781</v>
      </c>
      <c r="AG13" s="76">
        <v>233</v>
      </c>
      <c r="AH13" s="76">
        <v>12502</v>
      </c>
      <c r="AI13" s="76">
        <v>103</v>
      </c>
      <c r="AJ13" s="76">
        <v>375</v>
      </c>
      <c r="AK13" s="76">
        <v>591</v>
      </c>
      <c r="AL13" s="76" t="b">
        <v>0</v>
      </c>
      <c r="AM13" s="78">
        <v>42940.579259259262</v>
      </c>
      <c r="AN13" s="76" t="s">
        <v>3752</v>
      </c>
      <c r="AO13" s="76" t="s">
        <v>6683</v>
      </c>
      <c r="AP13" s="83" t="str">
        <f>HYPERLINK("https://t.co/6qNo4YblJ4")</f>
        <v>https://t.co/6qNo4YblJ4</v>
      </c>
      <c r="AQ13" s="83" t="str">
        <f>HYPERLINK("https://webitcoin.com.br/")</f>
        <v>https://webitcoin.com.br/</v>
      </c>
      <c r="AR13" s="76" t="s">
        <v>7003</v>
      </c>
      <c r="AS13" s="76"/>
      <c r="AT13" s="76"/>
      <c r="AU13" s="76"/>
      <c r="AV13" s="76"/>
      <c r="AW13" s="83" t="str">
        <f>HYPERLINK("https://t.co/6qNo4YblJ4")</f>
        <v>https://t.co/6qNo4YblJ4</v>
      </c>
      <c r="AX13" s="76" t="b">
        <v>0</v>
      </c>
      <c r="AY13" s="76"/>
      <c r="AZ13" s="76"/>
      <c r="BA13" s="76" t="b">
        <v>0</v>
      </c>
      <c r="BB13" s="76" t="b">
        <v>1</v>
      </c>
      <c r="BC13" s="76" t="b">
        <v>0</v>
      </c>
      <c r="BD13" s="76" t="b">
        <v>0</v>
      </c>
      <c r="BE13" s="76" t="b">
        <v>1</v>
      </c>
      <c r="BF13" s="76" t="b">
        <v>0</v>
      </c>
      <c r="BG13" s="76" t="b">
        <v>0</v>
      </c>
      <c r="BH13" s="83" t="str">
        <f>HYPERLINK("https://pbs.twimg.com/profile_banners/889483841840271360/1556928048")</f>
        <v>https://pbs.twimg.com/profile_banners/889483841840271360/1556928048</v>
      </c>
      <c r="BI13" s="76"/>
      <c r="BJ13" s="76" t="s">
        <v>7245</v>
      </c>
      <c r="BK13" s="76" t="b">
        <v>0</v>
      </c>
      <c r="BL13" s="76"/>
      <c r="BM13" s="76" t="s">
        <v>66</v>
      </c>
      <c r="BN13" s="76" t="s">
        <v>7247</v>
      </c>
      <c r="BO13" s="83" t="str">
        <f>HYPERLINK("https://twitter.com/webtcoficial")</f>
        <v>https://twitter.com/webtcoficial</v>
      </c>
      <c r="BP13" s="2"/>
    </row>
    <row r="14" spans="1:68" x14ac:dyDescent="0.25">
      <c r="A14" s="62" t="s">
        <v>234</v>
      </c>
      <c r="B14" s="63"/>
      <c r="C14" s="63"/>
      <c r="D14" s="64"/>
      <c r="E14" s="66"/>
      <c r="F14" s="102" t="str">
        <f>HYPERLINK("https://pbs.twimg.com/profile_images/1648998347061993473/CD_CJamc_normal.jpg")</f>
        <v>https://pbs.twimg.com/profile_images/1648998347061993473/CD_CJamc_normal.jpg</v>
      </c>
      <c r="G14" s="63"/>
      <c r="H14" s="67"/>
      <c r="I14" s="68"/>
      <c r="J14" s="68"/>
      <c r="K14" s="67" t="s">
        <v>7258</v>
      </c>
      <c r="L14" s="71"/>
      <c r="M14" s="72"/>
      <c r="N14" s="72"/>
      <c r="O14" s="73"/>
      <c r="P14" s="74"/>
      <c r="Q14" s="74"/>
      <c r="R14" s="86"/>
      <c r="S14" s="86"/>
      <c r="T14" s="86"/>
      <c r="U14" s="86"/>
      <c r="V14" s="48"/>
      <c r="W14" s="48"/>
      <c r="X14" s="48"/>
      <c r="Y14" s="48"/>
      <c r="Z14" s="47"/>
      <c r="AA14" s="69">
        <v>14</v>
      </c>
      <c r="AB14" s="69"/>
      <c r="AC14" s="70"/>
      <c r="AD14" s="76" t="s">
        <v>6142</v>
      </c>
      <c r="AE14" s="81" t="s">
        <v>5857</v>
      </c>
      <c r="AF14" s="76">
        <v>65</v>
      </c>
      <c r="AG14" s="76">
        <v>329</v>
      </c>
      <c r="AH14" s="76">
        <v>323</v>
      </c>
      <c r="AI14" s="76">
        <v>1</v>
      </c>
      <c r="AJ14" s="76">
        <v>213</v>
      </c>
      <c r="AK14" s="76">
        <v>306</v>
      </c>
      <c r="AL14" s="76" t="b">
        <v>0</v>
      </c>
      <c r="AM14" s="78">
        <v>45036.437881944446</v>
      </c>
      <c r="AN14" s="76" t="s">
        <v>6563</v>
      </c>
      <c r="AO14" s="76" t="s">
        <v>6684</v>
      </c>
      <c r="AP14" s="76"/>
      <c r="AQ14" s="76"/>
      <c r="AR14" s="76"/>
      <c r="AS14" s="76"/>
      <c r="AT14" s="76"/>
      <c r="AU14" s="76"/>
      <c r="AV14" s="76"/>
      <c r="AW14" s="76"/>
      <c r="AX14" s="76" t="b">
        <v>0</v>
      </c>
      <c r="AY14" s="76"/>
      <c r="AZ14" s="76"/>
      <c r="BA14" s="76" t="b">
        <v>0</v>
      </c>
      <c r="BB14" s="76" t="b">
        <v>1</v>
      </c>
      <c r="BC14" s="76" t="b">
        <v>1</v>
      </c>
      <c r="BD14" s="76" t="b">
        <v>0</v>
      </c>
      <c r="BE14" s="76" t="b">
        <v>0</v>
      </c>
      <c r="BF14" s="76" t="b">
        <v>0</v>
      </c>
      <c r="BG14" s="76" t="b">
        <v>0</v>
      </c>
      <c r="BH14" s="83" t="str">
        <f>HYPERLINK("https://pbs.twimg.com/profile_banners/1648997534868578305/1681986842")</f>
        <v>https://pbs.twimg.com/profile_banners/1648997534868578305/1681986842</v>
      </c>
      <c r="BI14" s="76"/>
      <c r="BJ14" s="76" t="s">
        <v>7245</v>
      </c>
      <c r="BK14" s="76" t="b">
        <v>0</v>
      </c>
      <c r="BL14" s="76"/>
      <c r="BM14" s="76" t="s">
        <v>66</v>
      </c>
      <c r="BN14" s="76" t="s">
        <v>7247</v>
      </c>
      <c r="BO14" s="83" t="str">
        <f>HYPERLINK("https://twitter.com/lisabnelson7885")</f>
        <v>https://twitter.com/lisabnelson7885</v>
      </c>
      <c r="BP14" s="2"/>
    </row>
    <row r="15" spans="1:68" x14ac:dyDescent="0.25">
      <c r="A15" s="62" t="s">
        <v>235</v>
      </c>
      <c r="B15" s="63"/>
      <c r="C15" s="63"/>
      <c r="D15" s="64"/>
      <c r="E15" s="66"/>
      <c r="F15" s="102" t="str">
        <f>HYPERLINK("https://pbs.twimg.com/profile_images/1572392006676086786/W2df7wZR_normal.jpg")</f>
        <v>https://pbs.twimg.com/profile_images/1572392006676086786/W2df7wZR_normal.jpg</v>
      </c>
      <c r="G15" s="63"/>
      <c r="H15" s="67"/>
      <c r="I15" s="68"/>
      <c r="J15" s="68"/>
      <c r="K15" s="67" t="s">
        <v>7259</v>
      </c>
      <c r="L15" s="71"/>
      <c r="M15" s="72"/>
      <c r="N15" s="72"/>
      <c r="O15" s="73"/>
      <c r="P15" s="74"/>
      <c r="Q15" s="74"/>
      <c r="R15" s="86"/>
      <c r="S15" s="86"/>
      <c r="T15" s="86"/>
      <c r="U15" s="86"/>
      <c r="V15" s="48"/>
      <c r="W15" s="48"/>
      <c r="X15" s="48"/>
      <c r="Y15" s="48"/>
      <c r="Z15" s="47"/>
      <c r="AA15" s="69">
        <v>15</v>
      </c>
      <c r="AB15" s="69"/>
      <c r="AC15" s="70"/>
      <c r="AD15" s="76" t="s">
        <v>6143</v>
      </c>
      <c r="AE15" s="81" t="s">
        <v>5858</v>
      </c>
      <c r="AF15" s="76">
        <v>1</v>
      </c>
      <c r="AG15" s="76">
        <v>33</v>
      </c>
      <c r="AH15" s="76">
        <v>474</v>
      </c>
      <c r="AI15" s="76">
        <v>0</v>
      </c>
      <c r="AJ15" s="76">
        <v>5</v>
      </c>
      <c r="AK15" s="76">
        <v>336</v>
      </c>
      <c r="AL15" s="76" t="b">
        <v>0</v>
      </c>
      <c r="AM15" s="78">
        <v>44825.046782407408</v>
      </c>
      <c r="AN15" s="76"/>
      <c r="AO15" s="76"/>
      <c r="AP15" s="76"/>
      <c r="AQ15" s="76"/>
      <c r="AR15" s="76"/>
      <c r="AS15" s="76"/>
      <c r="AT15" s="76"/>
      <c r="AU15" s="76"/>
      <c r="AV15" s="76"/>
      <c r="AW15" s="76"/>
      <c r="AX15" s="76" t="b">
        <v>0</v>
      </c>
      <c r="AY15" s="76"/>
      <c r="AZ15" s="76"/>
      <c r="BA15" s="76" t="b">
        <v>0</v>
      </c>
      <c r="BB15" s="76" t="b">
        <v>1</v>
      </c>
      <c r="BC15" s="76" t="b">
        <v>1</v>
      </c>
      <c r="BD15" s="76" t="b">
        <v>0</v>
      </c>
      <c r="BE15" s="76" t="b">
        <v>0</v>
      </c>
      <c r="BF15" s="76" t="b">
        <v>0</v>
      </c>
      <c r="BG15" s="76" t="b">
        <v>0</v>
      </c>
      <c r="BH15" s="76"/>
      <c r="BI15" s="76"/>
      <c r="BJ15" s="76" t="s">
        <v>7245</v>
      </c>
      <c r="BK15" s="76" t="b">
        <v>0</v>
      </c>
      <c r="BL15" s="76"/>
      <c r="BM15" s="76" t="s">
        <v>66</v>
      </c>
      <c r="BN15" s="76" t="s">
        <v>7247</v>
      </c>
      <c r="BO15" s="83" t="str">
        <f>HYPERLINK("https://twitter.com/uilmanganelli")</f>
        <v>https://twitter.com/uilmanganelli</v>
      </c>
      <c r="BP15" s="2"/>
    </row>
    <row r="16" spans="1:68" x14ac:dyDescent="0.25">
      <c r="A16" s="62" t="s">
        <v>236</v>
      </c>
      <c r="B16" s="63"/>
      <c r="C16" s="63"/>
      <c r="D16" s="64"/>
      <c r="E16" s="66"/>
      <c r="F16" s="102" t="str">
        <f>HYPERLINK("https://pbs.twimg.com/profile_images/1656324123889467396/OYGAwlHH_normal.jpg")</f>
        <v>https://pbs.twimg.com/profile_images/1656324123889467396/OYGAwlHH_normal.jpg</v>
      </c>
      <c r="G16" s="63"/>
      <c r="H16" s="67"/>
      <c r="I16" s="68"/>
      <c r="J16" s="68"/>
      <c r="K16" s="67" t="s">
        <v>7260</v>
      </c>
      <c r="L16" s="71"/>
      <c r="M16" s="72"/>
      <c r="N16" s="72"/>
      <c r="O16" s="73"/>
      <c r="P16" s="74"/>
      <c r="Q16" s="74"/>
      <c r="R16" s="86"/>
      <c r="S16" s="86"/>
      <c r="T16" s="86"/>
      <c r="U16" s="86"/>
      <c r="V16" s="48"/>
      <c r="W16" s="48"/>
      <c r="X16" s="48"/>
      <c r="Y16" s="48"/>
      <c r="Z16" s="47"/>
      <c r="AA16" s="69">
        <v>16</v>
      </c>
      <c r="AB16" s="69"/>
      <c r="AC16" s="70"/>
      <c r="AD16" s="76" t="s">
        <v>6144</v>
      </c>
      <c r="AE16" s="81" t="s">
        <v>5859</v>
      </c>
      <c r="AF16" s="76">
        <v>0</v>
      </c>
      <c r="AG16" s="76">
        <v>5</v>
      </c>
      <c r="AH16" s="76">
        <v>5</v>
      </c>
      <c r="AI16" s="76">
        <v>0</v>
      </c>
      <c r="AJ16" s="76">
        <v>0</v>
      </c>
      <c r="AK16" s="76">
        <v>5</v>
      </c>
      <c r="AL16" s="76" t="b">
        <v>0</v>
      </c>
      <c r="AM16" s="78">
        <v>45056.652986111112</v>
      </c>
      <c r="AN16" s="76"/>
      <c r="AO16" s="76" t="s">
        <v>6685</v>
      </c>
      <c r="AP16" s="76"/>
      <c r="AQ16" s="76"/>
      <c r="AR16" s="76"/>
      <c r="AS16" s="76"/>
      <c r="AT16" s="76"/>
      <c r="AU16" s="76"/>
      <c r="AV16" s="76"/>
      <c r="AW16" s="76"/>
      <c r="AX16" s="76" t="b">
        <v>0</v>
      </c>
      <c r="AY16" s="76"/>
      <c r="AZ16" s="76"/>
      <c r="BA16" s="76" t="b">
        <v>0</v>
      </c>
      <c r="BB16" s="76" t="b">
        <v>1</v>
      </c>
      <c r="BC16" s="76" t="b">
        <v>1</v>
      </c>
      <c r="BD16" s="76" t="b">
        <v>0</v>
      </c>
      <c r="BE16" s="76" t="b">
        <v>0</v>
      </c>
      <c r="BF16" s="76" t="b">
        <v>0</v>
      </c>
      <c r="BG16" s="76" t="b">
        <v>0</v>
      </c>
      <c r="BH16" s="76"/>
      <c r="BI16" s="76"/>
      <c r="BJ16" s="76" t="s">
        <v>7245</v>
      </c>
      <c r="BK16" s="76" t="b">
        <v>0</v>
      </c>
      <c r="BL16" s="76"/>
      <c r="BM16" s="76" t="s">
        <v>66</v>
      </c>
      <c r="BN16" s="76" t="s">
        <v>7247</v>
      </c>
      <c r="BO16" s="83" t="str">
        <f>HYPERLINK("https://twitter.com/af_liberdade")</f>
        <v>https://twitter.com/af_liberdade</v>
      </c>
      <c r="BP16" s="2"/>
    </row>
    <row r="17" spans="1:68" x14ac:dyDescent="0.25">
      <c r="A17" s="62" t="s">
        <v>237</v>
      </c>
      <c r="B17" s="63"/>
      <c r="C17" s="63"/>
      <c r="D17" s="64"/>
      <c r="E17" s="66"/>
      <c r="F17" s="102" t="str">
        <f>HYPERLINK("https://pbs.twimg.com/profile_images/1666150034084069380/31wtwq8e_normal.jpg")</f>
        <v>https://pbs.twimg.com/profile_images/1666150034084069380/31wtwq8e_normal.jpg</v>
      </c>
      <c r="G17" s="63"/>
      <c r="H17" s="67"/>
      <c r="I17" s="68"/>
      <c r="J17" s="68"/>
      <c r="K17" s="67" t="s">
        <v>7261</v>
      </c>
      <c r="L17" s="71"/>
      <c r="M17" s="72"/>
      <c r="N17" s="72"/>
      <c r="O17" s="73"/>
      <c r="P17" s="74"/>
      <c r="Q17" s="74"/>
      <c r="R17" s="86"/>
      <c r="S17" s="86"/>
      <c r="T17" s="86"/>
      <c r="U17" s="86"/>
      <c r="V17" s="48"/>
      <c r="W17" s="48"/>
      <c r="X17" s="48"/>
      <c r="Y17" s="48"/>
      <c r="Z17" s="47"/>
      <c r="AA17" s="69">
        <v>17</v>
      </c>
      <c r="AB17" s="69"/>
      <c r="AC17" s="70"/>
      <c r="AD17" s="76" t="s">
        <v>6145</v>
      </c>
      <c r="AE17" s="81" t="s">
        <v>5860</v>
      </c>
      <c r="AF17" s="76">
        <v>2</v>
      </c>
      <c r="AG17" s="76">
        <v>6</v>
      </c>
      <c r="AH17" s="76">
        <v>38</v>
      </c>
      <c r="AI17" s="76">
        <v>0</v>
      </c>
      <c r="AJ17" s="76">
        <v>4</v>
      </c>
      <c r="AK17" s="76">
        <v>12</v>
      </c>
      <c r="AL17" s="76" t="b">
        <v>0</v>
      </c>
      <c r="AM17" s="78">
        <v>44846.792708333334</v>
      </c>
      <c r="AN17" s="76" t="s">
        <v>6564</v>
      </c>
      <c r="AO17" s="76" t="s">
        <v>6686</v>
      </c>
      <c r="AP17" s="83" t="str">
        <f>HYPERLINK("https://t.co/F54sGo7Rv6")</f>
        <v>https://t.co/F54sGo7Rv6</v>
      </c>
      <c r="AQ17" s="83" t="str">
        <f>HYPERLINK("https://sun.eduzz.com/723654?a=10771391")</f>
        <v>https://sun.eduzz.com/723654?a=10771391</v>
      </c>
      <c r="AR17" s="76" t="s">
        <v>7004</v>
      </c>
      <c r="AS17" s="76"/>
      <c r="AT17" s="76"/>
      <c r="AU17" s="76"/>
      <c r="AV17" s="76"/>
      <c r="AW17" s="83" t="str">
        <f>HYPERLINK("https://t.co/F54sGo7Rv6")</f>
        <v>https://t.co/F54sGo7Rv6</v>
      </c>
      <c r="AX17" s="76" t="b">
        <v>0</v>
      </c>
      <c r="AY17" s="76"/>
      <c r="AZ17" s="76"/>
      <c r="BA17" s="76" t="b">
        <v>0</v>
      </c>
      <c r="BB17" s="76" t="b">
        <v>1</v>
      </c>
      <c r="BC17" s="76" t="b">
        <v>1</v>
      </c>
      <c r="BD17" s="76" t="b">
        <v>0</v>
      </c>
      <c r="BE17" s="76" t="b">
        <v>0</v>
      </c>
      <c r="BF17" s="76" t="b">
        <v>0</v>
      </c>
      <c r="BG17" s="76" t="b">
        <v>0</v>
      </c>
      <c r="BH17" s="83" t="str">
        <f>HYPERLINK("https://pbs.twimg.com/profile_banners/1580272390067654674/1686076098")</f>
        <v>https://pbs.twimg.com/profile_banners/1580272390067654674/1686076098</v>
      </c>
      <c r="BI17" s="76"/>
      <c r="BJ17" s="76" t="s">
        <v>7245</v>
      </c>
      <c r="BK17" s="76" t="b">
        <v>0</v>
      </c>
      <c r="BL17" s="76"/>
      <c r="BM17" s="76" t="s">
        <v>66</v>
      </c>
      <c r="BN17" s="76" t="s">
        <v>7247</v>
      </c>
      <c r="BO17" s="83" t="str">
        <f>HYPERLINK("https://twitter.com/luciane00547445")</f>
        <v>https://twitter.com/luciane00547445</v>
      </c>
      <c r="BP17" s="2"/>
    </row>
    <row r="18" spans="1:68" x14ac:dyDescent="0.25">
      <c r="A18" s="62" t="s">
        <v>238</v>
      </c>
      <c r="B18" s="63"/>
      <c r="C18" s="63"/>
      <c r="D18" s="64"/>
      <c r="E18" s="66"/>
      <c r="F18" s="102" t="str">
        <f>HYPERLINK("https://pbs.twimg.com/profile_images/1687564485781811200/ab0Dfo90_normal.png")</f>
        <v>https://pbs.twimg.com/profile_images/1687564485781811200/ab0Dfo90_normal.png</v>
      </c>
      <c r="G18" s="63"/>
      <c r="H18" s="67"/>
      <c r="I18" s="68"/>
      <c r="J18" s="68"/>
      <c r="K18" s="67" t="s">
        <v>7262</v>
      </c>
      <c r="L18" s="71"/>
      <c r="M18" s="72"/>
      <c r="N18" s="72"/>
      <c r="O18" s="73"/>
      <c r="P18" s="74"/>
      <c r="Q18" s="74"/>
      <c r="R18" s="86"/>
      <c r="S18" s="86"/>
      <c r="T18" s="86"/>
      <c r="U18" s="86"/>
      <c r="V18" s="48"/>
      <c r="W18" s="48"/>
      <c r="X18" s="48"/>
      <c r="Y18" s="48"/>
      <c r="Z18" s="47"/>
      <c r="AA18" s="69">
        <v>18</v>
      </c>
      <c r="AB18" s="69"/>
      <c r="AC18" s="70"/>
      <c r="AD18" s="76" t="s">
        <v>6146</v>
      </c>
      <c r="AE18" s="81" t="s">
        <v>5861</v>
      </c>
      <c r="AF18" s="76">
        <v>59</v>
      </c>
      <c r="AG18" s="76">
        <v>261</v>
      </c>
      <c r="AH18" s="76">
        <v>1164</v>
      </c>
      <c r="AI18" s="76">
        <v>0</v>
      </c>
      <c r="AJ18" s="76">
        <v>3</v>
      </c>
      <c r="AK18" s="76">
        <v>400</v>
      </c>
      <c r="AL18" s="76" t="b">
        <v>0</v>
      </c>
      <c r="AM18" s="78">
        <v>44017.573425925926</v>
      </c>
      <c r="AN18" s="76"/>
      <c r="AO18" s="76" t="s">
        <v>6687</v>
      </c>
      <c r="AP18" s="83" t="str">
        <f>HYPERLINK("https://t.co/y9plThuFc2")</f>
        <v>https://t.co/y9plThuFc2</v>
      </c>
      <c r="AQ18" s="83" t="str">
        <f>HYPERLINK("https://linktr.ee/agrocapitais")</f>
        <v>https://linktr.ee/agrocapitais</v>
      </c>
      <c r="AR18" s="76" t="s">
        <v>7005</v>
      </c>
      <c r="AS18" s="76"/>
      <c r="AT18" s="76"/>
      <c r="AU18" s="76"/>
      <c r="AV18" s="76"/>
      <c r="AW18" s="83" t="str">
        <f>HYPERLINK("https://t.co/y9plThuFc2")</f>
        <v>https://t.co/y9plThuFc2</v>
      </c>
      <c r="AX18" s="76" t="b">
        <v>0</v>
      </c>
      <c r="AY18" s="76"/>
      <c r="AZ18" s="76"/>
      <c r="BA18" s="76" t="b">
        <v>0</v>
      </c>
      <c r="BB18" s="76" t="b">
        <v>1</v>
      </c>
      <c r="BC18" s="76" t="b">
        <v>1</v>
      </c>
      <c r="BD18" s="76" t="b">
        <v>0</v>
      </c>
      <c r="BE18" s="76" t="b">
        <v>0</v>
      </c>
      <c r="BF18" s="76" t="b">
        <v>0</v>
      </c>
      <c r="BG18" s="76" t="b">
        <v>0</v>
      </c>
      <c r="BH18" s="83" t="str">
        <f>HYPERLINK("https://pbs.twimg.com/profile_banners/1279773366807859200/1691181703")</f>
        <v>https://pbs.twimg.com/profile_banners/1279773366807859200/1691181703</v>
      </c>
      <c r="BI18" s="76"/>
      <c r="BJ18" s="76" t="s">
        <v>7245</v>
      </c>
      <c r="BK18" s="76" t="b">
        <v>0</v>
      </c>
      <c r="BL18" s="76"/>
      <c r="BM18" s="76" t="s">
        <v>66</v>
      </c>
      <c r="BN18" s="76" t="s">
        <v>7247</v>
      </c>
      <c r="BO18" s="83" t="str">
        <f>HYPERLINK("https://twitter.com/agrocapitais")</f>
        <v>https://twitter.com/agrocapitais</v>
      </c>
      <c r="BP18" s="2"/>
    </row>
    <row r="19" spans="1:68" x14ac:dyDescent="0.25">
      <c r="A19" s="62" t="s">
        <v>239</v>
      </c>
      <c r="B19" s="63"/>
      <c r="C19" s="63"/>
      <c r="D19" s="64"/>
      <c r="E19" s="66"/>
      <c r="F19" s="102" t="str">
        <f>HYPERLINK("https://pbs.twimg.com/profile_images/1207742176098234368/FXlB5owL_normal.jpg")</f>
        <v>https://pbs.twimg.com/profile_images/1207742176098234368/FXlB5owL_normal.jpg</v>
      </c>
      <c r="G19" s="63"/>
      <c r="H19" s="67"/>
      <c r="I19" s="68"/>
      <c r="J19" s="68"/>
      <c r="K19" s="67" t="s">
        <v>7263</v>
      </c>
      <c r="L19" s="71"/>
      <c r="M19" s="72"/>
      <c r="N19" s="72"/>
      <c r="O19" s="73"/>
      <c r="P19" s="74"/>
      <c r="Q19" s="74"/>
      <c r="R19" s="86"/>
      <c r="S19" s="86"/>
      <c r="T19" s="86"/>
      <c r="U19" s="86"/>
      <c r="V19" s="48"/>
      <c r="W19" s="48"/>
      <c r="X19" s="48"/>
      <c r="Y19" s="48"/>
      <c r="Z19" s="47"/>
      <c r="AA19" s="69">
        <v>19</v>
      </c>
      <c r="AB19" s="69"/>
      <c r="AC19" s="70"/>
      <c r="AD19" s="76" t="s">
        <v>6147</v>
      </c>
      <c r="AE19" s="81" t="s">
        <v>6485</v>
      </c>
      <c r="AF19" s="76">
        <v>6474</v>
      </c>
      <c r="AG19" s="76">
        <v>383</v>
      </c>
      <c r="AH19" s="76">
        <v>8305</v>
      </c>
      <c r="AI19" s="76">
        <v>98</v>
      </c>
      <c r="AJ19" s="76">
        <v>1075</v>
      </c>
      <c r="AK19" s="76">
        <v>910</v>
      </c>
      <c r="AL19" s="76" t="b">
        <v>0</v>
      </c>
      <c r="AM19" s="78">
        <v>40074.081817129627</v>
      </c>
      <c r="AN19" s="76" t="s">
        <v>6565</v>
      </c>
      <c r="AO19" s="76" t="s">
        <v>6688</v>
      </c>
      <c r="AP19" s="83" t="str">
        <f>HYPERLINK("https://t.co/sgm8n2uOTt")</f>
        <v>https://t.co/sgm8n2uOTt</v>
      </c>
      <c r="AQ19" s="83" t="str">
        <f>HYPERLINK("http://www.academiadodinheiro.com.br")</f>
        <v>http://www.academiadodinheiro.com.br</v>
      </c>
      <c r="AR19" s="76" t="s">
        <v>7006</v>
      </c>
      <c r="AS19" s="76"/>
      <c r="AT19" s="76"/>
      <c r="AU19" s="76"/>
      <c r="AV19" s="76"/>
      <c r="AW19" s="83" t="str">
        <f>HYPERLINK("https://t.co/sgm8n2uOTt")</f>
        <v>https://t.co/sgm8n2uOTt</v>
      </c>
      <c r="AX19" s="76" t="b">
        <v>0</v>
      </c>
      <c r="AY19" s="76"/>
      <c r="AZ19" s="76"/>
      <c r="BA19" s="76" t="b">
        <v>0</v>
      </c>
      <c r="BB19" s="76" t="b">
        <v>1</v>
      </c>
      <c r="BC19" s="76" t="b">
        <v>0</v>
      </c>
      <c r="BD19" s="76" t="b">
        <v>0</v>
      </c>
      <c r="BE19" s="76" t="b">
        <v>1</v>
      </c>
      <c r="BF19" s="76" t="b">
        <v>0</v>
      </c>
      <c r="BG19" s="76" t="b">
        <v>0</v>
      </c>
      <c r="BH19" s="83" t="str">
        <f>HYPERLINK("https://pbs.twimg.com/profile_banners/75173434/1576783149")</f>
        <v>https://pbs.twimg.com/profile_banners/75173434/1576783149</v>
      </c>
      <c r="BI19" s="76"/>
      <c r="BJ19" s="76" t="s">
        <v>7245</v>
      </c>
      <c r="BK19" s="76" t="b">
        <v>0</v>
      </c>
      <c r="BL19" s="76"/>
      <c r="BM19" s="76" t="s">
        <v>66</v>
      </c>
      <c r="BN19" s="76" t="s">
        <v>7247</v>
      </c>
      <c r="BO19" s="83" t="str">
        <f>HYPERLINK("https://twitter.com/calilecalil")</f>
        <v>https://twitter.com/calilecalil</v>
      </c>
      <c r="BP19" s="2"/>
    </row>
    <row r="20" spans="1:68" x14ac:dyDescent="0.25">
      <c r="A20" s="62" t="s">
        <v>240</v>
      </c>
      <c r="B20" s="63"/>
      <c r="C20" s="63"/>
      <c r="D20" s="64"/>
      <c r="E20" s="66"/>
      <c r="F20" s="102" t="str">
        <f>HYPERLINK("https://pbs.twimg.com/profile_images/1625549433755648039/fu_7vF-U_normal.png")</f>
        <v>https://pbs.twimg.com/profile_images/1625549433755648039/fu_7vF-U_normal.png</v>
      </c>
      <c r="G20" s="63"/>
      <c r="H20" s="67"/>
      <c r="I20" s="68"/>
      <c r="J20" s="68"/>
      <c r="K20" s="67" t="s">
        <v>7264</v>
      </c>
      <c r="L20" s="71"/>
      <c r="M20" s="72"/>
      <c r="N20" s="72"/>
      <c r="O20" s="73"/>
      <c r="P20" s="74"/>
      <c r="Q20" s="74"/>
      <c r="R20" s="86"/>
      <c r="S20" s="86"/>
      <c r="T20" s="86"/>
      <c r="U20" s="86"/>
      <c r="V20" s="48"/>
      <c r="W20" s="48"/>
      <c r="X20" s="48"/>
      <c r="Y20" s="48"/>
      <c r="Z20" s="47"/>
      <c r="AA20" s="69">
        <v>20</v>
      </c>
      <c r="AB20" s="69"/>
      <c r="AC20" s="70"/>
      <c r="AD20" s="76" t="s">
        <v>6148</v>
      </c>
      <c r="AE20" s="81" t="s">
        <v>5862</v>
      </c>
      <c r="AF20" s="76">
        <v>45</v>
      </c>
      <c r="AG20" s="76">
        <v>225</v>
      </c>
      <c r="AH20" s="76">
        <v>481</v>
      </c>
      <c r="AI20" s="76">
        <v>0</v>
      </c>
      <c r="AJ20" s="76">
        <v>190</v>
      </c>
      <c r="AK20" s="76">
        <v>481</v>
      </c>
      <c r="AL20" s="76" t="b">
        <v>0</v>
      </c>
      <c r="AM20" s="78">
        <v>44349.571238425924</v>
      </c>
      <c r="AN20" s="76" t="s">
        <v>6566</v>
      </c>
      <c r="AO20" s="76" t="s">
        <v>6689</v>
      </c>
      <c r="AP20" s="83" t="str">
        <f>HYPERLINK("https://t.co/ZLgnOHSoks")</f>
        <v>https://t.co/ZLgnOHSoks</v>
      </c>
      <c r="AQ20" s="83" t="str">
        <f>HYPERLINK("https://e-loan.pt/poupe-ja/")</f>
        <v>https://e-loan.pt/poupe-ja/</v>
      </c>
      <c r="AR20" s="76" t="s">
        <v>7007</v>
      </c>
      <c r="AS20" s="76"/>
      <c r="AT20" s="76"/>
      <c r="AU20" s="76"/>
      <c r="AV20" s="76"/>
      <c r="AW20" s="83" t="str">
        <f>HYPERLINK("https://t.co/ZLgnOHSoks")</f>
        <v>https://t.co/ZLgnOHSoks</v>
      </c>
      <c r="AX20" s="76" t="b">
        <v>0</v>
      </c>
      <c r="AY20" s="76"/>
      <c r="AZ20" s="76"/>
      <c r="BA20" s="76" t="b">
        <v>0</v>
      </c>
      <c r="BB20" s="76" t="b">
        <v>1</v>
      </c>
      <c r="BC20" s="76" t="b">
        <v>1</v>
      </c>
      <c r="BD20" s="76" t="b">
        <v>0</v>
      </c>
      <c r="BE20" s="76" t="b">
        <v>0</v>
      </c>
      <c r="BF20" s="76" t="b">
        <v>0</v>
      </c>
      <c r="BG20" s="76" t="b">
        <v>0</v>
      </c>
      <c r="BH20" s="83" t="str">
        <f>HYPERLINK("https://pbs.twimg.com/profile_banners/1400085362307969028/1693234047")</f>
        <v>https://pbs.twimg.com/profile_banners/1400085362307969028/1693234047</v>
      </c>
      <c r="BI20" s="76"/>
      <c r="BJ20" s="76" t="s">
        <v>7245</v>
      </c>
      <c r="BK20" s="76" t="b">
        <v>0</v>
      </c>
      <c r="BL20" s="76"/>
      <c r="BM20" s="76" t="s">
        <v>66</v>
      </c>
      <c r="BN20" s="76" t="s">
        <v>7247</v>
      </c>
      <c r="BO20" s="83" t="str">
        <f>HYPERLINK("https://twitter.com/eloanportugal")</f>
        <v>https://twitter.com/eloanportugal</v>
      </c>
      <c r="BP20" s="2"/>
    </row>
    <row r="21" spans="1:68" x14ac:dyDescent="0.25">
      <c r="A21" s="62" t="s">
        <v>241</v>
      </c>
      <c r="B21" s="63"/>
      <c r="C21" s="63"/>
      <c r="D21" s="64"/>
      <c r="E21" s="66"/>
      <c r="F21" s="102" t="str">
        <f>HYPERLINK("https://pbs.twimg.com/profile_images/1398086344535068673/hyCorW6j_normal.jpg")</f>
        <v>https://pbs.twimg.com/profile_images/1398086344535068673/hyCorW6j_normal.jpg</v>
      </c>
      <c r="G21" s="63"/>
      <c r="H21" s="67"/>
      <c r="I21" s="68"/>
      <c r="J21" s="68"/>
      <c r="K21" s="67" t="s">
        <v>7265</v>
      </c>
      <c r="L21" s="71"/>
      <c r="M21" s="72"/>
      <c r="N21" s="72"/>
      <c r="O21" s="73"/>
      <c r="P21" s="74"/>
      <c r="Q21" s="74"/>
      <c r="R21" s="86"/>
      <c r="S21" s="86"/>
      <c r="T21" s="86"/>
      <c r="U21" s="86"/>
      <c r="V21" s="48"/>
      <c r="W21" s="48"/>
      <c r="X21" s="48"/>
      <c r="Y21" s="48"/>
      <c r="Z21" s="47"/>
      <c r="AA21" s="69">
        <v>21</v>
      </c>
      <c r="AB21" s="69"/>
      <c r="AC21" s="70"/>
      <c r="AD21" s="76" t="s">
        <v>6149</v>
      </c>
      <c r="AE21" s="81" t="s">
        <v>6486</v>
      </c>
      <c r="AF21" s="76">
        <v>1713</v>
      </c>
      <c r="AG21" s="76">
        <v>79</v>
      </c>
      <c r="AH21" s="76">
        <v>12853</v>
      </c>
      <c r="AI21" s="76">
        <v>3</v>
      </c>
      <c r="AJ21" s="76">
        <v>7239</v>
      </c>
      <c r="AK21" s="76">
        <v>1584</v>
      </c>
      <c r="AL21" s="76" t="b">
        <v>0</v>
      </c>
      <c r="AM21" s="78">
        <v>41629.94153935185</v>
      </c>
      <c r="AN21" s="76"/>
      <c r="AO21" s="76" t="s">
        <v>6690</v>
      </c>
      <c r="AP21" s="83" t="str">
        <f>HYPERLINK("https://t.co/pp4S3EDqLz")</f>
        <v>https://t.co/pp4S3EDqLz</v>
      </c>
      <c r="AQ21" s="83" t="str">
        <f>HYPERLINK("https://instabio.cc/fabiosantana")</f>
        <v>https://instabio.cc/fabiosantana</v>
      </c>
      <c r="AR21" s="76" t="s">
        <v>7008</v>
      </c>
      <c r="AS21" s="76"/>
      <c r="AT21" s="76"/>
      <c r="AU21" s="76"/>
      <c r="AV21" s="76">
        <v>1.6947924823561001E+18</v>
      </c>
      <c r="AW21" s="83" t="str">
        <f>HYPERLINK("https://t.co/pp4S3EDqLz")</f>
        <v>https://t.co/pp4S3EDqLz</v>
      </c>
      <c r="AX21" s="76" t="b">
        <v>0</v>
      </c>
      <c r="AY21" s="76"/>
      <c r="AZ21" s="76"/>
      <c r="BA21" s="76" t="b">
        <v>1</v>
      </c>
      <c r="BB21" s="76" t="b">
        <v>1</v>
      </c>
      <c r="BC21" s="76" t="b">
        <v>0</v>
      </c>
      <c r="BD21" s="76" t="b">
        <v>0</v>
      </c>
      <c r="BE21" s="76" t="b">
        <v>0</v>
      </c>
      <c r="BF21" s="76" t="b">
        <v>0</v>
      </c>
      <c r="BG21" s="76" t="b">
        <v>0</v>
      </c>
      <c r="BH21" s="83" t="str">
        <f>HYPERLINK("https://pbs.twimg.com/profile_banners/2257002404/1633547021")</f>
        <v>https://pbs.twimg.com/profile_banners/2257002404/1633547021</v>
      </c>
      <c r="BI21" s="76"/>
      <c r="BJ21" s="76" t="s">
        <v>7245</v>
      </c>
      <c r="BK21" s="76" t="b">
        <v>0</v>
      </c>
      <c r="BL21" s="76"/>
      <c r="BM21" s="76" t="s">
        <v>66</v>
      </c>
      <c r="BN21" s="76" t="s">
        <v>7247</v>
      </c>
      <c r="BO21" s="83" t="str">
        <f>HYPERLINK("https://twitter.com/fabiosantanacs")</f>
        <v>https://twitter.com/fabiosantanacs</v>
      </c>
      <c r="BP21" s="2"/>
    </row>
    <row r="22" spans="1:68" x14ac:dyDescent="0.25">
      <c r="A22" s="62" t="s">
        <v>242</v>
      </c>
      <c r="B22" s="63"/>
      <c r="C22" s="63"/>
      <c r="D22" s="64"/>
      <c r="E22" s="66"/>
      <c r="F22" s="102" t="str">
        <f>HYPERLINK("https://pbs.twimg.com/profile_images/1504317618450223109/IJxu5td2_normal.jpg")</f>
        <v>https://pbs.twimg.com/profile_images/1504317618450223109/IJxu5td2_normal.jpg</v>
      </c>
      <c r="G22" s="63"/>
      <c r="H22" s="67"/>
      <c r="I22" s="68"/>
      <c r="J22" s="68"/>
      <c r="K22" s="67" t="s">
        <v>7266</v>
      </c>
      <c r="L22" s="71"/>
      <c r="M22" s="72"/>
      <c r="N22" s="72"/>
      <c r="O22" s="73"/>
      <c r="P22" s="74"/>
      <c r="Q22" s="74"/>
      <c r="R22" s="86"/>
      <c r="S22" s="86"/>
      <c r="T22" s="86"/>
      <c r="U22" s="86"/>
      <c r="V22" s="48"/>
      <c r="W22" s="48"/>
      <c r="X22" s="48"/>
      <c r="Y22" s="48"/>
      <c r="Z22" s="47"/>
      <c r="AA22" s="69">
        <v>22</v>
      </c>
      <c r="AB22" s="69"/>
      <c r="AC22" s="70"/>
      <c r="AD22" s="76" t="s">
        <v>6150</v>
      </c>
      <c r="AE22" s="81" t="s">
        <v>5863</v>
      </c>
      <c r="AF22" s="76">
        <v>10617</v>
      </c>
      <c r="AG22" s="76">
        <v>245</v>
      </c>
      <c r="AH22" s="76">
        <v>3054</v>
      </c>
      <c r="AI22" s="76">
        <v>5</v>
      </c>
      <c r="AJ22" s="76">
        <v>5719</v>
      </c>
      <c r="AK22" s="76">
        <v>418</v>
      </c>
      <c r="AL22" s="76" t="b">
        <v>0</v>
      </c>
      <c r="AM22" s="78">
        <v>44367.554490740738</v>
      </c>
      <c r="AN22" s="76" t="s">
        <v>6567</v>
      </c>
      <c r="AO22" s="76" t="s">
        <v>6691</v>
      </c>
      <c r="AP22" s="83" t="str">
        <f>HYPERLINK("https://t.co/3MHDQy4Esg")</f>
        <v>https://t.co/3MHDQy4Esg</v>
      </c>
      <c r="AQ22" s="83" t="str">
        <f>HYPERLINK("http://www.movimentoconservador.com")</f>
        <v>http://www.movimentoconservador.com</v>
      </c>
      <c r="AR22" s="76" t="s">
        <v>7009</v>
      </c>
      <c r="AS22" s="76"/>
      <c r="AT22" s="76"/>
      <c r="AU22" s="76"/>
      <c r="AV22" s="76"/>
      <c r="AW22" s="83" t="str">
        <f>HYPERLINK("https://t.co/3MHDQy4Esg")</f>
        <v>https://t.co/3MHDQy4Esg</v>
      </c>
      <c r="AX22" s="76" t="b">
        <v>0</v>
      </c>
      <c r="AY22" s="76"/>
      <c r="AZ22" s="76"/>
      <c r="BA22" s="76" t="b">
        <v>1</v>
      </c>
      <c r="BB22" s="76" t="b">
        <v>1</v>
      </c>
      <c r="BC22" s="76" t="b">
        <v>1</v>
      </c>
      <c r="BD22" s="76" t="b">
        <v>0</v>
      </c>
      <c r="BE22" s="76" t="b">
        <v>0</v>
      </c>
      <c r="BF22" s="76" t="b">
        <v>0</v>
      </c>
      <c r="BG22" s="76" t="b">
        <v>0</v>
      </c>
      <c r="BH22" s="83" t="str">
        <f>HYPERLINK("https://pbs.twimg.com/profile_banners/1406602281697546245/1671377272")</f>
        <v>https://pbs.twimg.com/profile_banners/1406602281697546245/1671377272</v>
      </c>
      <c r="BI22" s="76"/>
      <c r="BJ22" s="76" t="s">
        <v>7245</v>
      </c>
      <c r="BK22" s="76" t="b">
        <v>0</v>
      </c>
      <c r="BL22" s="76"/>
      <c r="BM22" s="76" t="s">
        <v>66</v>
      </c>
      <c r="BN22" s="76" t="s">
        <v>7247</v>
      </c>
      <c r="BO22" s="83" t="str">
        <f>HYPERLINK("https://twitter.com/alexandras_es")</f>
        <v>https://twitter.com/alexandras_es</v>
      </c>
      <c r="BP22" s="2"/>
    </row>
    <row r="23" spans="1:68" x14ac:dyDescent="0.25">
      <c r="A23" s="62" t="s">
        <v>243</v>
      </c>
      <c r="B23" s="63"/>
      <c r="C23" s="63"/>
      <c r="D23" s="64"/>
      <c r="E23" s="66"/>
      <c r="F23" s="102" t="str">
        <f>HYPERLINK("https://pbs.twimg.com/profile_images/1691165313918812160/TXgTC2FM_normal.jpg")</f>
        <v>https://pbs.twimg.com/profile_images/1691165313918812160/TXgTC2FM_normal.jpg</v>
      </c>
      <c r="G23" s="63"/>
      <c r="H23" s="67"/>
      <c r="I23" s="68"/>
      <c r="J23" s="68"/>
      <c r="K23" s="67" t="s">
        <v>7267</v>
      </c>
      <c r="L23" s="71"/>
      <c r="M23" s="72"/>
      <c r="N23" s="72"/>
      <c r="O23" s="73"/>
      <c r="P23" s="74"/>
      <c r="Q23" s="74"/>
      <c r="R23" s="86"/>
      <c r="S23" s="86"/>
      <c r="T23" s="86"/>
      <c r="U23" s="86"/>
      <c r="V23" s="48"/>
      <c r="W23" s="48"/>
      <c r="X23" s="48"/>
      <c r="Y23" s="48"/>
      <c r="Z23" s="47"/>
      <c r="AA23" s="69">
        <v>23</v>
      </c>
      <c r="AB23" s="69"/>
      <c r="AC23" s="70"/>
      <c r="AD23" s="76" t="s">
        <v>6151</v>
      </c>
      <c r="AE23" s="81" t="s">
        <v>5864</v>
      </c>
      <c r="AF23" s="76">
        <v>4</v>
      </c>
      <c r="AG23" s="76">
        <v>20</v>
      </c>
      <c r="AH23" s="76">
        <v>22</v>
      </c>
      <c r="AI23" s="76">
        <v>0</v>
      </c>
      <c r="AJ23" s="76">
        <v>2</v>
      </c>
      <c r="AK23" s="76">
        <v>19</v>
      </c>
      <c r="AL23" s="76" t="b">
        <v>0</v>
      </c>
      <c r="AM23" s="78">
        <v>45034.142384259256</v>
      </c>
      <c r="AN23" s="76" t="s">
        <v>6568</v>
      </c>
      <c r="AO23" s="76" t="s">
        <v>6692</v>
      </c>
      <c r="AP23" s="83" t="str">
        <f>HYPERLINK("https://t.co/whYBQ6UG6B")</f>
        <v>https://t.co/whYBQ6UG6B</v>
      </c>
      <c r="AQ23" s="83" t="str">
        <f>HYPERLINK("https://linktr.ee/apilfi")</f>
        <v>https://linktr.ee/apilfi</v>
      </c>
      <c r="AR23" s="76" t="s">
        <v>7010</v>
      </c>
      <c r="AS23" s="83" t="str">
        <f>HYPERLINK("https://t.co/whYBQ6UG6B")</f>
        <v>https://t.co/whYBQ6UG6B</v>
      </c>
      <c r="AT23" s="83" t="str">
        <f>HYPERLINK("https://linktr.ee/apilfi")</f>
        <v>https://linktr.ee/apilfi</v>
      </c>
      <c r="AU23" s="76" t="s">
        <v>7010</v>
      </c>
      <c r="AV23" s="76"/>
      <c r="AW23" s="83" t="str">
        <f>HYPERLINK("https://t.co/whYBQ6UG6B")</f>
        <v>https://t.co/whYBQ6UG6B</v>
      </c>
      <c r="AX23" s="76" t="b">
        <v>0</v>
      </c>
      <c r="AY23" s="76"/>
      <c r="AZ23" s="76"/>
      <c r="BA23" s="76" t="b">
        <v>0</v>
      </c>
      <c r="BB23" s="76" t="b">
        <v>1</v>
      </c>
      <c r="BC23" s="76" t="b">
        <v>1</v>
      </c>
      <c r="BD23" s="76" t="b">
        <v>0</v>
      </c>
      <c r="BE23" s="76" t="b">
        <v>0</v>
      </c>
      <c r="BF23" s="76" t="b">
        <v>0</v>
      </c>
      <c r="BG23" s="76" t="b">
        <v>0</v>
      </c>
      <c r="BH23" s="83" t="str">
        <f>HYPERLINK("https://pbs.twimg.com/profile_banners/1648165630044958720/1692040251")</f>
        <v>https://pbs.twimg.com/profile_banners/1648165630044958720/1692040251</v>
      </c>
      <c r="BI23" s="76"/>
      <c r="BJ23" s="76" t="s">
        <v>7245</v>
      </c>
      <c r="BK23" s="76" t="b">
        <v>0</v>
      </c>
      <c r="BL23" s="76"/>
      <c r="BM23" s="76" t="s">
        <v>66</v>
      </c>
      <c r="BN23" s="76" t="s">
        <v>7247</v>
      </c>
      <c r="BO23" s="83" t="str">
        <f>HYPERLINK("https://twitter.com/apilfibr")</f>
        <v>https://twitter.com/apilfibr</v>
      </c>
      <c r="BP23" s="2"/>
    </row>
    <row r="24" spans="1:68" x14ac:dyDescent="0.25">
      <c r="A24" s="62" t="s">
        <v>244</v>
      </c>
      <c r="B24" s="63"/>
      <c r="C24" s="63"/>
      <c r="D24" s="64"/>
      <c r="E24" s="66"/>
      <c r="F24" s="102" t="str">
        <f>HYPERLINK("https://pbs.twimg.com/profile_images/1038373598178762752/YRwR3-0X_normal.jpg")</f>
        <v>https://pbs.twimg.com/profile_images/1038373598178762752/YRwR3-0X_normal.jpg</v>
      </c>
      <c r="G24" s="63"/>
      <c r="H24" s="67"/>
      <c r="I24" s="68"/>
      <c r="J24" s="68"/>
      <c r="K24" s="67" t="s">
        <v>7268</v>
      </c>
      <c r="L24" s="71"/>
      <c r="M24" s="72"/>
      <c r="N24" s="72"/>
      <c r="O24" s="73"/>
      <c r="P24" s="74"/>
      <c r="Q24" s="74"/>
      <c r="R24" s="86"/>
      <c r="S24" s="86"/>
      <c r="T24" s="86"/>
      <c r="U24" s="86"/>
      <c r="V24" s="48"/>
      <c r="W24" s="48"/>
      <c r="X24" s="48"/>
      <c r="Y24" s="48"/>
      <c r="Z24" s="47"/>
      <c r="AA24" s="69">
        <v>24</v>
      </c>
      <c r="AB24" s="69"/>
      <c r="AC24" s="70"/>
      <c r="AD24" s="76" t="s">
        <v>6152</v>
      </c>
      <c r="AE24" s="81" t="s">
        <v>5865</v>
      </c>
      <c r="AF24" s="76">
        <v>33</v>
      </c>
      <c r="AG24" s="76">
        <v>161</v>
      </c>
      <c r="AH24" s="76">
        <v>415</v>
      </c>
      <c r="AI24" s="76">
        <v>0</v>
      </c>
      <c r="AJ24" s="76">
        <v>14984</v>
      </c>
      <c r="AK24" s="76">
        <v>17</v>
      </c>
      <c r="AL24" s="76" t="b">
        <v>0</v>
      </c>
      <c r="AM24" s="78">
        <v>42455.956435185188</v>
      </c>
      <c r="AN24" s="76" t="s">
        <v>3771</v>
      </c>
      <c r="AO24" s="76"/>
      <c r="AP24" s="76"/>
      <c r="AQ24" s="76"/>
      <c r="AR24" s="76"/>
      <c r="AS24" s="76"/>
      <c r="AT24" s="76"/>
      <c r="AU24" s="76"/>
      <c r="AV24" s="76">
        <v>1.61421771628973E+18</v>
      </c>
      <c r="AW24" s="76"/>
      <c r="AX24" s="76" t="b">
        <v>0</v>
      </c>
      <c r="AY24" s="76"/>
      <c r="AZ24" s="76"/>
      <c r="BA24" s="76" t="b">
        <v>0</v>
      </c>
      <c r="BB24" s="76" t="b">
        <v>1</v>
      </c>
      <c r="BC24" s="76" t="b">
        <v>1</v>
      </c>
      <c r="BD24" s="76" t="b">
        <v>0</v>
      </c>
      <c r="BE24" s="76" t="b">
        <v>1</v>
      </c>
      <c r="BF24" s="76" t="b">
        <v>0</v>
      </c>
      <c r="BG24" s="76" t="b">
        <v>0</v>
      </c>
      <c r="BH24" s="76"/>
      <c r="BI24" s="76"/>
      <c r="BJ24" s="76" t="s">
        <v>7245</v>
      </c>
      <c r="BK24" s="76" t="b">
        <v>0</v>
      </c>
      <c r="BL24" s="76"/>
      <c r="BM24" s="76" t="s">
        <v>66</v>
      </c>
      <c r="BN24" s="76" t="s">
        <v>7247</v>
      </c>
      <c r="BO24" s="83" t="str">
        <f>HYPERLINK("https://twitter.com/giordanobarboza")</f>
        <v>https://twitter.com/giordanobarboza</v>
      </c>
      <c r="BP24" s="2"/>
    </row>
    <row r="25" spans="1:68" x14ac:dyDescent="0.25">
      <c r="A25" s="62" t="s">
        <v>245</v>
      </c>
      <c r="B25" s="63"/>
      <c r="C25" s="63"/>
      <c r="D25" s="64"/>
      <c r="E25" s="66"/>
      <c r="F25" s="102" t="str">
        <f>HYPERLINK("https://pbs.twimg.com/profile_images/1636480078744829955/FQ1Wi3HQ_normal.jpg")</f>
        <v>https://pbs.twimg.com/profile_images/1636480078744829955/FQ1Wi3HQ_normal.jpg</v>
      </c>
      <c r="G25" s="63"/>
      <c r="H25" s="67"/>
      <c r="I25" s="68"/>
      <c r="J25" s="68"/>
      <c r="K25" s="67" t="s">
        <v>7269</v>
      </c>
      <c r="L25" s="71"/>
      <c r="M25" s="72"/>
      <c r="N25" s="72"/>
      <c r="O25" s="73"/>
      <c r="P25" s="74"/>
      <c r="Q25" s="74"/>
      <c r="R25" s="86"/>
      <c r="S25" s="86"/>
      <c r="T25" s="86"/>
      <c r="U25" s="86"/>
      <c r="V25" s="48"/>
      <c r="W25" s="48"/>
      <c r="X25" s="48"/>
      <c r="Y25" s="48"/>
      <c r="Z25" s="47"/>
      <c r="AA25" s="69">
        <v>25</v>
      </c>
      <c r="AB25" s="69"/>
      <c r="AC25" s="70"/>
      <c r="AD25" s="76" t="s">
        <v>6153</v>
      </c>
      <c r="AE25" s="81" t="s">
        <v>5866</v>
      </c>
      <c r="AF25" s="76">
        <v>8</v>
      </c>
      <c r="AG25" s="76">
        <v>3</v>
      </c>
      <c r="AH25" s="76">
        <v>25</v>
      </c>
      <c r="AI25" s="76">
        <v>0</v>
      </c>
      <c r="AJ25" s="76">
        <v>3</v>
      </c>
      <c r="AK25" s="76">
        <v>23</v>
      </c>
      <c r="AL25" s="76" t="b">
        <v>0</v>
      </c>
      <c r="AM25" s="78">
        <v>44845.855266203704</v>
      </c>
      <c r="AN25" s="76"/>
      <c r="AO25" s="76" t="s">
        <v>6693</v>
      </c>
      <c r="AP25" s="83" t="str">
        <f>HYPERLINK("https://t.co/WpB52MaC2z")</f>
        <v>https://t.co/WpB52MaC2z</v>
      </c>
      <c r="AQ25" s="83" t="str">
        <f>HYPERLINK("https://lnk.bio/educandopessoas")</f>
        <v>https://lnk.bio/educandopessoas</v>
      </c>
      <c r="AR25" s="76" t="s">
        <v>7011</v>
      </c>
      <c r="AS25" s="76"/>
      <c r="AT25" s="76"/>
      <c r="AU25" s="76"/>
      <c r="AV25" s="76"/>
      <c r="AW25" s="83" t="str">
        <f>HYPERLINK("https://t.co/WpB52MaC2z")</f>
        <v>https://t.co/WpB52MaC2z</v>
      </c>
      <c r="AX25" s="76" t="b">
        <v>0</v>
      </c>
      <c r="AY25" s="76"/>
      <c r="AZ25" s="76"/>
      <c r="BA25" s="76" t="b">
        <v>0</v>
      </c>
      <c r="BB25" s="76" t="b">
        <v>1</v>
      </c>
      <c r="BC25" s="76" t="b">
        <v>1</v>
      </c>
      <c r="BD25" s="76" t="b">
        <v>0</v>
      </c>
      <c r="BE25" s="76" t="b">
        <v>0</v>
      </c>
      <c r="BF25" s="76" t="b">
        <v>0</v>
      </c>
      <c r="BG25" s="76" t="b">
        <v>0</v>
      </c>
      <c r="BH25" s="83" t="str">
        <f>HYPERLINK("https://pbs.twimg.com/profile_banners/1579932593235042305/1685806887")</f>
        <v>https://pbs.twimg.com/profile_banners/1579932593235042305/1685806887</v>
      </c>
      <c r="BI25" s="76"/>
      <c r="BJ25" s="76" t="s">
        <v>7245</v>
      </c>
      <c r="BK25" s="76" t="b">
        <v>0</v>
      </c>
      <c r="BL25" s="76"/>
      <c r="BM25" s="76" t="s">
        <v>66</v>
      </c>
      <c r="BN25" s="76" t="s">
        <v>7247</v>
      </c>
      <c r="BO25" s="83" t="str">
        <f>HYPERLINK("https://twitter.com/educandopessoas")</f>
        <v>https://twitter.com/educandopessoas</v>
      </c>
      <c r="BP25" s="2"/>
    </row>
    <row r="26" spans="1:68" x14ac:dyDescent="0.25">
      <c r="A26" s="62" t="s">
        <v>246</v>
      </c>
      <c r="B26" s="63"/>
      <c r="C26" s="63"/>
      <c r="D26" s="64"/>
      <c r="E26" s="66"/>
      <c r="F26" s="102" t="str">
        <f>HYPERLINK("https://pbs.twimg.com/profile_images/1621101121942048768/FnO5dwaK_normal.jpg")</f>
        <v>https://pbs.twimg.com/profile_images/1621101121942048768/FnO5dwaK_normal.jpg</v>
      </c>
      <c r="G26" s="63"/>
      <c r="H26" s="67"/>
      <c r="I26" s="68"/>
      <c r="J26" s="68"/>
      <c r="K26" s="67" t="s">
        <v>7270</v>
      </c>
      <c r="L26" s="71"/>
      <c r="M26" s="72"/>
      <c r="N26" s="72"/>
      <c r="O26" s="73"/>
      <c r="P26" s="74"/>
      <c r="Q26" s="74"/>
      <c r="R26" s="86"/>
      <c r="S26" s="86"/>
      <c r="T26" s="86"/>
      <c r="U26" s="86"/>
      <c r="V26" s="48"/>
      <c r="W26" s="48"/>
      <c r="X26" s="48"/>
      <c r="Y26" s="48"/>
      <c r="Z26" s="47"/>
      <c r="AA26" s="69">
        <v>26</v>
      </c>
      <c r="AB26" s="69"/>
      <c r="AC26" s="70"/>
      <c r="AD26" s="76" t="s">
        <v>6154</v>
      </c>
      <c r="AE26" s="81" t="s">
        <v>5867</v>
      </c>
      <c r="AF26" s="76">
        <v>4602</v>
      </c>
      <c r="AG26" s="76">
        <v>2</v>
      </c>
      <c r="AH26" s="76">
        <v>730</v>
      </c>
      <c r="AI26" s="76">
        <v>1</v>
      </c>
      <c r="AJ26" s="76">
        <v>43</v>
      </c>
      <c r="AK26" s="76">
        <v>570</v>
      </c>
      <c r="AL26" s="76" t="b">
        <v>0</v>
      </c>
      <c r="AM26" s="78">
        <v>44778.519062500003</v>
      </c>
      <c r="AN26" s="76" t="s">
        <v>6569</v>
      </c>
      <c r="AO26" s="76" t="s">
        <v>6694</v>
      </c>
      <c r="AP26" s="83" t="str">
        <f>HYPERLINK("https://t.co/PjLdUtyRC8")</f>
        <v>https://t.co/PjLdUtyRC8</v>
      </c>
      <c r="AQ26" s="83" t="str">
        <f>HYPERLINK("https://fairspin.cc/space-race-Gleam-SMM")</f>
        <v>https://fairspin.cc/space-race-Gleam-SMM</v>
      </c>
      <c r="AR26" s="76" t="s">
        <v>7012</v>
      </c>
      <c r="AS26" s="76"/>
      <c r="AT26" s="76"/>
      <c r="AU26" s="76"/>
      <c r="AV26" s="76"/>
      <c r="AW26" s="83" t="str">
        <f>HYPERLINK("https://t.co/PjLdUtyRC8")</f>
        <v>https://t.co/PjLdUtyRC8</v>
      </c>
      <c r="AX26" s="76" t="b">
        <v>0</v>
      </c>
      <c r="AY26" s="76"/>
      <c r="AZ26" s="76"/>
      <c r="BA26" s="76" t="b">
        <v>0</v>
      </c>
      <c r="BB26" s="76" t="b">
        <v>1</v>
      </c>
      <c r="BC26" s="76" t="b">
        <v>1</v>
      </c>
      <c r="BD26" s="76" t="b">
        <v>0</v>
      </c>
      <c r="BE26" s="76" t="b">
        <v>0</v>
      </c>
      <c r="BF26" s="76" t="b">
        <v>0</v>
      </c>
      <c r="BG26" s="76" t="b">
        <v>0</v>
      </c>
      <c r="BH26" s="83" t="str">
        <f>HYPERLINK("https://pbs.twimg.com/profile_banners/1555530831216709632/1693547086")</f>
        <v>https://pbs.twimg.com/profile_banners/1555530831216709632/1693547086</v>
      </c>
      <c r="BI26" s="76"/>
      <c r="BJ26" s="76" t="s">
        <v>7245</v>
      </c>
      <c r="BK26" s="76" t="b">
        <v>0</v>
      </c>
      <c r="BL26" s="76"/>
      <c r="BM26" s="76" t="s">
        <v>66</v>
      </c>
      <c r="BN26" s="76" t="s">
        <v>7247</v>
      </c>
      <c r="BO26" s="83" t="str">
        <f>HYPERLINK("https://twitter.com/fairspinpt")</f>
        <v>https://twitter.com/fairspinpt</v>
      </c>
      <c r="BP26" s="2"/>
    </row>
    <row r="27" spans="1:68" x14ac:dyDescent="0.25">
      <c r="A27" s="62" t="s">
        <v>247</v>
      </c>
      <c r="B27" s="63"/>
      <c r="C27" s="63"/>
      <c r="D27" s="64"/>
      <c r="E27" s="66"/>
      <c r="F27" s="102" t="str">
        <f>HYPERLINK("https://pbs.twimg.com/profile_images/1401962512455802881/bLfMmVCZ_normal.jpg")</f>
        <v>https://pbs.twimg.com/profile_images/1401962512455802881/bLfMmVCZ_normal.jpg</v>
      </c>
      <c r="G27" s="63"/>
      <c r="H27" s="67"/>
      <c r="I27" s="68"/>
      <c r="J27" s="68"/>
      <c r="K27" s="67" t="s">
        <v>7271</v>
      </c>
      <c r="L27" s="71"/>
      <c r="M27" s="72"/>
      <c r="N27" s="72"/>
      <c r="O27" s="73"/>
      <c r="P27" s="74"/>
      <c r="Q27" s="74"/>
      <c r="R27" s="86"/>
      <c r="S27" s="86"/>
      <c r="T27" s="86"/>
      <c r="U27" s="86"/>
      <c r="V27" s="48"/>
      <c r="W27" s="48"/>
      <c r="X27" s="48"/>
      <c r="Y27" s="48"/>
      <c r="Z27" s="47"/>
      <c r="AA27" s="69">
        <v>27</v>
      </c>
      <c r="AB27" s="69"/>
      <c r="AC27" s="70"/>
      <c r="AD27" s="76" t="s">
        <v>6155</v>
      </c>
      <c r="AE27" s="81" t="s">
        <v>5868</v>
      </c>
      <c r="AF27" s="76">
        <v>65</v>
      </c>
      <c r="AG27" s="76">
        <v>628</v>
      </c>
      <c r="AH27" s="76">
        <v>851</v>
      </c>
      <c r="AI27" s="76">
        <v>9</v>
      </c>
      <c r="AJ27" s="76">
        <v>2376</v>
      </c>
      <c r="AK27" s="76">
        <v>137</v>
      </c>
      <c r="AL27" s="76" t="b">
        <v>0</v>
      </c>
      <c r="AM27" s="78">
        <v>43258.996076388888</v>
      </c>
      <c r="AN27" s="76"/>
      <c r="AO27" s="76" t="s">
        <v>6695</v>
      </c>
      <c r="AP27" s="76"/>
      <c r="AQ27" s="76"/>
      <c r="AR27" s="76"/>
      <c r="AS27" s="76"/>
      <c r="AT27" s="76"/>
      <c r="AU27" s="76"/>
      <c r="AV27" s="76"/>
      <c r="AW27" s="76"/>
      <c r="AX27" s="76" t="b">
        <v>0</v>
      </c>
      <c r="AY27" s="76"/>
      <c r="AZ27" s="76"/>
      <c r="BA27" s="76" t="b">
        <v>0</v>
      </c>
      <c r="BB27" s="76" t="b">
        <v>1</v>
      </c>
      <c r="BC27" s="76" t="b">
        <v>1</v>
      </c>
      <c r="BD27" s="76" t="b">
        <v>0</v>
      </c>
      <c r="BE27" s="76" t="b">
        <v>0</v>
      </c>
      <c r="BF27" s="76" t="b">
        <v>0</v>
      </c>
      <c r="BG27" s="76" t="b">
        <v>0</v>
      </c>
      <c r="BH27" s="83" t="str">
        <f>HYPERLINK("https://pbs.twimg.com/profile_banners/1004874232231333889/1664586077")</f>
        <v>https://pbs.twimg.com/profile_banners/1004874232231333889/1664586077</v>
      </c>
      <c r="BI27" s="76"/>
      <c r="BJ27" s="76" t="s">
        <v>7245</v>
      </c>
      <c r="BK27" s="76" t="b">
        <v>0</v>
      </c>
      <c r="BL27" s="76"/>
      <c r="BM27" s="76" t="s">
        <v>66</v>
      </c>
      <c r="BN27" s="76" t="s">
        <v>7247</v>
      </c>
      <c r="BO27" s="83" t="str">
        <f>HYPERLINK("https://twitter.com/pedro_a_nery")</f>
        <v>https://twitter.com/pedro_a_nery</v>
      </c>
      <c r="BP27" s="2"/>
    </row>
    <row r="28" spans="1:68" x14ac:dyDescent="0.25">
      <c r="A28" s="62" t="s">
        <v>248</v>
      </c>
      <c r="B28" s="63"/>
      <c r="C28" s="63"/>
      <c r="D28" s="64"/>
      <c r="E28" s="66"/>
      <c r="F28" s="102" t="str">
        <f>HYPERLINK("https://pbs.twimg.com/profile_images/2735288547/9e72f7848f0cd62ba984ad7d516c1762_normal.jpeg")</f>
        <v>https://pbs.twimg.com/profile_images/2735288547/9e72f7848f0cd62ba984ad7d516c1762_normal.jpeg</v>
      </c>
      <c r="G28" s="63"/>
      <c r="H28" s="67"/>
      <c r="I28" s="68"/>
      <c r="J28" s="68"/>
      <c r="K28" s="67" t="s">
        <v>7272</v>
      </c>
      <c r="L28" s="71"/>
      <c r="M28" s="72"/>
      <c r="N28" s="72"/>
      <c r="O28" s="73"/>
      <c r="P28" s="74"/>
      <c r="Q28" s="74"/>
      <c r="R28" s="86"/>
      <c r="S28" s="86"/>
      <c r="T28" s="86"/>
      <c r="U28" s="86"/>
      <c r="V28" s="48"/>
      <c r="W28" s="48"/>
      <c r="X28" s="48"/>
      <c r="Y28" s="48"/>
      <c r="Z28" s="47"/>
      <c r="AA28" s="69">
        <v>28</v>
      </c>
      <c r="AB28" s="69"/>
      <c r="AC28" s="70"/>
      <c r="AD28" s="76" t="s">
        <v>6156</v>
      </c>
      <c r="AE28" s="81" t="s">
        <v>6487</v>
      </c>
      <c r="AF28" s="76">
        <v>1632</v>
      </c>
      <c r="AG28" s="76">
        <v>1786</v>
      </c>
      <c r="AH28" s="76">
        <v>384134</v>
      </c>
      <c r="AI28" s="76">
        <v>172</v>
      </c>
      <c r="AJ28" s="76">
        <v>492</v>
      </c>
      <c r="AK28" s="76">
        <v>79565</v>
      </c>
      <c r="AL28" s="76" t="b">
        <v>0</v>
      </c>
      <c r="AM28" s="78">
        <v>39485.476134259261</v>
      </c>
      <c r="AN28" s="76" t="s">
        <v>6570</v>
      </c>
      <c r="AO28" s="76" t="s">
        <v>6696</v>
      </c>
      <c r="AP28" s="83" t="str">
        <f>HYPERLINK("https://t.co/VHlZlcAZyq")</f>
        <v>https://t.co/VHlZlcAZyq</v>
      </c>
      <c r="AQ28" s="83" t="str">
        <f>HYPERLINK("https://sucesso.hmr1973.com")</f>
        <v>https://sucesso.hmr1973.com</v>
      </c>
      <c r="AR28" s="76" t="s">
        <v>7013</v>
      </c>
      <c r="AS28" s="76"/>
      <c r="AT28" s="76"/>
      <c r="AU28" s="76"/>
      <c r="AV28" s="76"/>
      <c r="AW28" s="83" t="str">
        <f>HYPERLINK("https://t.co/VHlZlcAZyq")</f>
        <v>https://t.co/VHlZlcAZyq</v>
      </c>
      <c r="AX28" s="76" t="b">
        <v>0</v>
      </c>
      <c r="AY28" s="76"/>
      <c r="AZ28" s="76"/>
      <c r="BA28" s="76" t="b">
        <v>0</v>
      </c>
      <c r="BB28" s="76" t="b">
        <v>1</v>
      </c>
      <c r="BC28" s="76" t="b">
        <v>0</v>
      </c>
      <c r="BD28" s="76" t="b">
        <v>0</v>
      </c>
      <c r="BE28" s="76" t="b">
        <v>1</v>
      </c>
      <c r="BF28" s="76" t="b">
        <v>0</v>
      </c>
      <c r="BG28" s="76" t="b">
        <v>0</v>
      </c>
      <c r="BH28" s="83" t="str">
        <f>HYPERLINK("https://pbs.twimg.com/profile_banners/13200062/1594140168")</f>
        <v>https://pbs.twimg.com/profile_banners/13200062/1594140168</v>
      </c>
      <c r="BI28" s="76"/>
      <c r="BJ28" s="76" t="s">
        <v>7245</v>
      </c>
      <c r="BK28" s="76" t="b">
        <v>0</v>
      </c>
      <c r="BL28" s="76"/>
      <c r="BM28" s="76" t="s">
        <v>66</v>
      </c>
      <c r="BN28" s="76" t="s">
        <v>7247</v>
      </c>
      <c r="BO28" s="83" t="str">
        <f>HYPERLINK("https://twitter.com/hmr1973")</f>
        <v>https://twitter.com/hmr1973</v>
      </c>
      <c r="BP28" s="2"/>
    </row>
    <row r="29" spans="1:68" x14ac:dyDescent="0.25">
      <c r="A29" s="62" t="s">
        <v>249</v>
      </c>
      <c r="B29" s="63"/>
      <c r="C29" s="63"/>
      <c r="D29" s="64"/>
      <c r="E29" s="66"/>
      <c r="F29" s="102" t="str">
        <f>HYPERLINK("https://pbs.twimg.com/profile_images/1518399483196882944/_-SEZeLq_normal.jpg")</f>
        <v>https://pbs.twimg.com/profile_images/1518399483196882944/_-SEZeLq_normal.jpg</v>
      </c>
      <c r="G29" s="63"/>
      <c r="H29" s="67"/>
      <c r="I29" s="68"/>
      <c r="J29" s="68"/>
      <c r="K29" s="67" t="s">
        <v>7273</v>
      </c>
      <c r="L29" s="71"/>
      <c r="M29" s="72"/>
      <c r="N29" s="72"/>
      <c r="O29" s="73"/>
      <c r="P29" s="74"/>
      <c r="Q29" s="74"/>
      <c r="R29" s="86"/>
      <c r="S29" s="86"/>
      <c r="T29" s="86"/>
      <c r="U29" s="86"/>
      <c r="V29" s="48"/>
      <c r="W29" s="48"/>
      <c r="X29" s="48"/>
      <c r="Y29" s="48"/>
      <c r="Z29" s="47"/>
      <c r="AA29" s="69">
        <v>29</v>
      </c>
      <c r="AB29" s="69"/>
      <c r="AC29" s="70"/>
      <c r="AD29" s="76" t="s">
        <v>6157</v>
      </c>
      <c r="AE29" s="81" t="s">
        <v>5869</v>
      </c>
      <c r="AF29" s="76">
        <v>126</v>
      </c>
      <c r="AG29" s="76">
        <v>1458</v>
      </c>
      <c r="AH29" s="76">
        <v>15</v>
      </c>
      <c r="AI29" s="76">
        <v>0</v>
      </c>
      <c r="AJ29" s="76">
        <v>1889</v>
      </c>
      <c r="AK29" s="76">
        <v>0</v>
      </c>
      <c r="AL29" s="76" t="b">
        <v>0</v>
      </c>
      <c r="AM29" s="78">
        <v>44676.054780092592</v>
      </c>
      <c r="AN29" s="76"/>
      <c r="AO29" s="76"/>
      <c r="AP29" s="76"/>
      <c r="AQ29" s="76"/>
      <c r="AR29" s="76"/>
      <c r="AS29" s="76"/>
      <c r="AT29" s="76"/>
      <c r="AU29" s="76"/>
      <c r="AV29" s="76"/>
      <c r="AW29" s="76"/>
      <c r="AX29" s="76" t="b">
        <v>0</v>
      </c>
      <c r="AY29" s="76"/>
      <c r="AZ29" s="76"/>
      <c r="BA29" s="76" t="b">
        <v>0</v>
      </c>
      <c r="BB29" s="76" t="b">
        <v>1</v>
      </c>
      <c r="BC29" s="76" t="b">
        <v>1</v>
      </c>
      <c r="BD29" s="76" t="b">
        <v>0</v>
      </c>
      <c r="BE29" s="76" t="b">
        <v>1</v>
      </c>
      <c r="BF29" s="76" t="b">
        <v>0</v>
      </c>
      <c r="BG29" s="76" t="b">
        <v>0</v>
      </c>
      <c r="BH29" s="76"/>
      <c r="BI29" s="76"/>
      <c r="BJ29" s="76" t="s">
        <v>7245</v>
      </c>
      <c r="BK29" s="76" t="b">
        <v>0</v>
      </c>
      <c r="BL29" s="76"/>
      <c r="BM29" s="76" t="s">
        <v>66</v>
      </c>
      <c r="BN29" s="76" t="s">
        <v>7247</v>
      </c>
      <c r="BO29" s="83" t="str">
        <f>HYPERLINK("https://twitter.com/evandrodutrabtc")</f>
        <v>https://twitter.com/evandrodutrabtc</v>
      </c>
      <c r="BP29" s="2"/>
    </row>
    <row r="30" spans="1:68" x14ac:dyDescent="0.25">
      <c r="A30" s="62" t="s">
        <v>250</v>
      </c>
      <c r="B30" s="63"/>
      <c r="C30" s="63"/>
      <c r="D30" s="64"/>
      <c r="E30" s="66"/>
      <c r="F30" s="102" t="str">
        <f>HYPERLINK("https://pbs.twimg.com/profile_images/1634222638359883776/DPp6taPm_normal.jpg")</f>
        <v>https://pbs.twimg.com/profile_images/1634222638359883776/DPp6taPm_normal.jpg</v>
      </c>
      <c r="G30" s="63"/>
      <c r="H30" s="67"/>
      <c r="I30" s="68"/>
      <c r="J30" s="68"/>
      <c r="K30" s="67" t="s">
        <v>7274</v>
      </c>
      <c r="L30" s="71"/>
      <c r="M30" s="72"/>
      <c r="N30" s="72"/>
      <c r="O30" s="73"/>
      <c r="P30" s="74"/>
      <c r="Q30" s="74"/>
      <c r="R30" s="86"/>
      <c r="S30" s="86"/>
      <c r="T30" s="86"/>
      <c r="U30" s="86"/>
      <c r="V30" s="48"/>
      <c r="W30" s="48"/>
      <c r="X30" s="48"/>
      <c r="Y30" s="48"/>
      <c r="Z30" s="47"/>
      <c r="AA30" s="69">
        <v>30</v>
      </c>
      <c r="AB30" s="69"/>
      <c r="AC30" s="70"/>
      <c r="AD30" s="76" t="s">
        <v>6158</v>
      </c>
      <c r="AE30" s="81" t="s">
        <v>5870</v>
      </c>
      <c r="AF30" s="76">
        <v>8</v>
      </c>
      <c r="AG30" s="76">
        <v>40</v>
      </c>
      <c r="AH30" s="76">
        <v>178</v>
      </c>
      <c r="AI30" s="76">
        <v>0</v>
      </c>
      <c r="AJ30" s="76">
        <v>6</v>
      </c>
      <c r="AK30" s="76">
        <v>177</v>
      </c>
      <c r="AL30" s="76" t="b">
        <v>0</v>
      </c>
      <c r="AM30" s="78">
        <v>44995.664710648147</v>
      </c>
      <c r="AN30" s="76"/>
      <c r="AO30" s="76"/>
      <c r="AP30" s="83" t="str">
        <f>HYPERLINK("https://t.co/s1PjZEqZ0k")</f>
        <v>https://t.co/s1PjZEqZ0k</v>
      </c>
      <c r="AQ30" s="83" t="str">
        <f>HYPERLINK("https://bolsainteligente.com.br/")</f>
        <v>https://bolsainteligente.com.br/</v>
      </c>
      <c r="AR30" s="76" t="s">
        <v>7014</v>
      </c>
      <c r="AS30" s="76"/>
      <c r="AT30" s="76"/>
      <c r="AU30" s="76"/>
      <c r="AV30" s="76"/>
      <c r="AW30" s="83" t="str">
        <f>HYPERLINK("https://t.co/s1PjZEqZ0k")</f>
        <v>https://t.co/s1PjZEqZ0k</v>
      </c>
      <c r="AX30" s="76" t="b">
        <v>0</v>
      </c>
      <c r="AY30" s="76"/>
      <c r="AZ30" s="76"/>
      <c r="BA30" s="76" t="b">
        <v>0</v>
      </c>
      <c r="BB30" s="76" t="b">
        <v>1</v>
      </c>
      <c r="BC30" s="76" t="b">
        <v>1</v>
      </c>
      <c r="BD30" s="76" t="b">
        <v>0</v>
      </c>
      <c r="BE30" s="76" t="b">
        <v>0</v>
      </c>
      <c r="BF30" s="76" t="b">
        <v>0</v>
      </c>
      <c r="BG30" s="76" t="b">
        <v>0</v>
      </c>
      <c r="BH30" s="83" t="str">
        <f>HYPERLINK("https://pbs.twimg.com/profile_banners/1634221834966106113/1694440453")</f>
        <v>https://pbs.twimg.com/profile_banners/1634221834966106113/1694440453</v>
      </c>
      <c r="BI30" s="76"/>
      <c r="BJ30" s="76" t="s">
        <v>7245</v>
      </c>
      <c r="BK30" s="76" t="b">
        <v>0</v>
      </c>
      <c r="BL30" s="76"/>
      <c r="BM30" s="76" t="s">
        <v>66</v>
      </c>
      <c r="BN30" s="76" t="s">
        <v>7247</v>
      </c>
      <c r="BO30" s="83" t="str">
        <f>HYPERLINK("https://twitter.com/inteligentbolsa")</f>
        <v>https://twitter.com/inteligentbolsa</v>
      </c>
      <c r="BP30" s="2"/>
    </row>
    <row r="31" spans="1:68" x14ac:dyDescent="0.25">
      <c r="A31" s="62" t="s">
        <v>251</v>
      </c>
      <c r="B31" s="63"/>
      <c r="C31" s="63"/>
      <c r="D31" s="64"/>
      <c r="E31" s="66"/>
      <c r="F31" s="102" t="str">
        <f>HYPERLINK("https://pbs.twimg.com/profile_images/1599968473505038339/Tlfu66HJ_normal.jpg")</f>
        <v>https://pbs.twimg.com/profile_images/1599968473505038339/Tlfu66HJ_normal.jpg</v>
      </c>
      <c r="G31" s="63"/>
      <c r="H31" s="67"/>
      <c r="I31" s="68"/>
      <c r="J31" s="68"/>
      <c r="K31" s="67" t="s">
        <v>7275</v>
      </c>
      <c r="L31" s="71"/>
      <c r="M31" s="72"/>
      <c r="N31" s="72"/>
      <c r="O31" s="73"/>
      <c r="P31" s="74"/>
      <c r="Q31" s="74"/>
      <c r="R31" s="86"/>
      <c r="S31" s="86"/>
      <c r="T31" s="86"/>
      <c r="U31" s="86"/>
      <c r="V31" s="48"/>
      <c r="W31" s="48"/>
      <c r="X31" s="48"/>
      <c r="Y31" s="48"/>
      <c r="Z31" s="47"/>
      <c r="AA31" s="69">
        <v>31</v>
      </c>
      <c r="AB31" s="69"/>
      <c r="AC31" s="70"/>
      <c r="AD31" s="76" t="s">
        <v>6159</v>
      </c>
      <c r="AE31" s="81" t="s">
        <v>5871</v>
      </c>
      <c r="AF31" s="76">
        <v>597</v>
      </c>
      <c r="AG31" s="76">
        <v>1094</v>
      </c>
      <c r="AH31" s="76">
        <v>131</v>
      </c>
      <c r="AI31" s="76">
        <v>2</v>
      </c>
      <c r="AJ31" s="76">
        <v>1</v>
      </c>
      <c r="AK31" s="76">
        <v>2</v>
      </c>
      <c r="AL31" s="76" t="b">
        <v>0</v>
      </c>
      <c r="AM31" s="78">
        <v>44555.124872685185</v>
      </c>
      <c r="AN31" s="76" t="s">
        <v>6571</v>
      </c>
      <c r="AO31" s="76" t="s">
        <v>6697</v>
      </c>
      <c r="AP31" s="83" t="str">
        <f>HYPERLINK("https://t.co/GbtTj7bWRQ")</f>
        <v>https://t.co/GbtTj7bWRQ</v>
      </c>
      <c r="AQ31" s="83" t="str">
        <f>HYPERLINK("https://www.khanh.com.br")</f>
        <v>https://www.khanh.com.br</v>
      </c>
      <c r="AR31" s="76" t="s">
        <v>7015</v>
      </c>
      <c r="AS31" s="76"/>
      <c r="AT31" s="76"/>
      <c r="AU31" s="76"/>
      <c r="AV31" s="76"/>
      <c r="AW31" s="83" t="str">
        <f>HYPERLINK("https://t.co/GbtTj7bWRQ")</f>
        <v>https://t.co/GbtTj7bWRQ</v>
      </c>
      <c r="AX31" s="76" t="b">
        <v>0</v>
      </c>
      <c r="AY31" s="76"/>
      <c r="AZ31" s="76"/>
      <c r="BA31" s="76" t="b">
        <v>0</v>
      </c>
      <c r="BB31" s="76" t="b">
        <v>1</v>
      </c>
      <c r="BC31" s="76" t="b">
        <v>1</v>
      </c>
      <c r="BD31" s="76" t="b">
        <v>0</v>
      </c>
      <c r="BE31" s="76" t="b">
        <v>0</v>
      </c>
      <c r="BF31" s="76" t="b">
        <v>0</v>
      </c>
      <c r="BG31" s="76" t="b">
        <v>0</v>
      </c>
      <c r="BH31" s="76"/>
      <c r="BI31" s="76"/>
      <c r="BJ31" s="76" t="s">
        <v>7245</v>
      </c>
      <c r="BK31" s="76" t="b">
        <v>0</v>
      </c>
      <c r="BL31" s="76"/>
      <c r="BM31" s="76" t="s">
        <v>66</v>
      </c>
      <c r="BN31" s="76" t="s">
        <v>7247</v>
      </c>
      <c r="BO31" s="83" t="str">
        <f>HYPERLINK("https://twitter.com/giovaniaandre")</f>
        <v>https://twitter.com/giovaniaandre</v>
      </c>
      <c r="BP31" s="2"/>
    </row>
    <row r="32" spans="1:68" x14ac:dyDescent="0.25">
      <c r="A32" s="62" t="s">
        <v>252</v>
      </c>
      <c r="B32" s="63"/>
      <c r="C32" s="63"/>
      <c r="D32" s="64"/>
      <c r="E32" s="66"/>
      <c r="F32" s="102" t="str">
        <f>HYPERLINK("https://pbs.twimg.com/profile_images/1262116863728930823/KoIGXzcw_normal.jpg")</f>
        <v>https://pbs.twimg.com/profile_images/1262116863728930823/KoIGXzcw_normal.jpg</v>
      </c>
      <c r="G32" s="63"/>
      <c r="H32" s="67"/>
      <c r="I32" s="68"/>
      <c r="J32" s="68"/>
      <c r="K32" s="67" t="s">
        <v>7276</v>
      </c>
      <c r="L32" s="71"/>
      <c r="M32" s="72"/>
      <c r="N32" s="72"/>
      <c r="O32" s="73"/>
      <c r="P32" s="74"/>
      <c r="Q32" s="74"/>
      <c r="R32" s="86"/>
      <c r="S32" s="86"/>
      <c r="T32" s="86"/>
      <c r="U32" s="86"/>
      <c r="V32" s="48"/>
      <c r="W32" s="48"/>
      <c r="X32" s="48"/>
      <c r="Y32" s="48"/>
      <c r="Z32" s="47"/>
      <c r="AA32" s="69">
        <v>32</v>
      </c>
      <c r="AB32" s="69"/>
      <c r="AC32" s="70"/>
      <c r="AD32" s="76" t="s">
        <v>6160</v>
      </c>
      <c r="AE32" s="81" t="s">
        <v>5872</v>
      </c>
      <c r="AF32" s="76">
        <v>35</v>
      </c>
      <c r="AG32" s="76">
        <v>19</v>
      </c>
      <c r="AH32" s="76">
        <v>34</v>
      </c>
      <c r="AI32" s="76">
        <v>0</v>
      </c>
      <c r="AJ32" s="76">
        <v>14</v>
      </c>
      <c r="AK32" s="76">
        <v>21</v>
      </c>
      <c r="AL32" s="76" t="b">
        <v>0</v>
      </c>
      <c r="AM32" s="78">
        <v>43628.498287037037</v>
      </c>
      <c r="AN32" s="76" t="s">
        <v>3760</v>
      </c>
      <c r="AO32" s="76" t="s">
        <v>6698</v>
      </c>
      <c r="AP32" s="83" t="str">
        <f>HYPERLINK("https://t.co/CCQCLQg0E1")</f>
        <v>https://t.co/CCQCLQg0E1</v>
      </c>
      <c r="AQ32" s="83" t="str">
        <f>HYPERLINK("https://silvanarosa.digital")</f>
        <v>https://silvanarosa.digital</v>
      </c>
      <c r="AR32" s="76" t="s">
        <v>7016</v>
      </c>
      <c r="AS32" s="76"/>
      <c r="AT32" s="76"/>
      <c r="AU32" s="76"/>
      <c r="AV32" s="76"/>
      <c r="AW32" s="83" t="str">
        <f>HYPERLINK("https://t.co/CCQCLQg0E1")</f>
        <v>https://t.co/CCQCLQg0E1</v>
      </c>
      <c r="AX32" s="76" t="b">
        <v>0</v>
      </c>
      <c r="AY32" s="76"/>
      <c r="AZ32" s="76"/>
      <c r="BA32" s="76" t="b">
        <v>0</v>
      </c>
      <c r="BB32" s="76" t="b">
        <v>1</v>
      </c>
      <c r="BC32" s="76" t="b">
        <v>1</v>
      </c>
      <c r="BD32" s="76" t="b">
        <v>0</v>
      </c>
      <c r="BE32" s="76" t="b">
        <v>0</v>
      </c>
      <c r="BF32" s="76" t="b">
        <v>0</v>
      </c>
      <c r="BG32" s="76" t="b">
        <v>0</v>
      </c>
      <c r="BH32" s="83" t="str">
        <f>HYPERLINK("https://pbs.twimg.com/profile_banners/1138777348713656320/1589747084")</f>
        <v>https://pbs.twimg.com/profile_banners/1138777348713656320/1589747084</v>
      </c>
      <c r="BI32" s="76"/>
      <c r="BJ32" s="76" t="s">
        <v>7245</v>
      </c>
      <c r="BK32" s="76" t="b">
        <v>0</v>
      </c>
      <c r="BL32" s="76"/>
      <c r="BM32" s="76" t="s">
        <v>66</v>
      </c>
      <c r="BN32" s="76" t="s">
        <v>7247</v>
      </c>
      <c r="BO32" s="83" t="str">
        <f>HYPERLINK("https://twitter.com/silvanarosaofic")</f>
        <v>https://twitter.com/silvanarosaofic</v>
      </c>
      <c r="BP32" s="2"/>
    </row>
    <row r="33" spans="1:68" x14ac:dyDescent="0.25">
      <c r="A33" s="62" t="s">
        <v>253</v>
      </c>
      <c r="B33" s="63"/>
      <c r="C33" s="63"/>
      <c r="D33" s="64"/>
      <c r="E33" s="66"/>
      <c r="F33" s="102" t="str">
        <f>HYPERLINK("https://pbs.twimg.com/profile_images/1510225048971489284/Z_xI6ZEz_normal.png")</f>
        <v>https://pbs.twimg.com/profile_images/1510225048971489284/Z_xI6ZEz_normal.png</v>
      </c>
      <c r="G33" s="63"/>
      <c r="H33" s="67"/>
      <c r="I33" s="68"/>
      <c r="J33" s="68"/>
      <c r="K33" s="67" t="s">
        <v>7277</v>
      </c>
      <c r="L33" s="71"/>
      <c r="M33" s="72"/>
      <c r="N33" s="72"/>
      <c r="O33" s="73"/>
      <c r="P33" s="74"/>
      <c r="Q33" s="74"/>
      <c r="R33" s="86"/>
      <c r="S33" s="86"/>
      <c r="T33" s="86"/>
      <c r="U33" s="86"/>
      <c r="V33" s="48"/>
      <c r="W33" s="48"/>
      <c r="X33" s="48"/>
      <c r="Y33" s="48"/>
      <c r="Z33" s="47"/>
      <c r="AA33" s="69">
        <v>33</v>
      </c>
      <c r="AB33" s="69"/>
      <c r="AC33" s="70"/>
      <c r="AD33" s="76" t="s">
        <v>6161</v>
      </c>
      <c r="AE33" s="81" t="s">
        <v>5873</v>
      </c>
      <c r="AF33" s="76">
        <v>49</v>
      </c>
      <c r="AG33" s="76">
        <v>22</v>
      </c>
      <c r="AH33" s="76">
        <v>382</v>
      </c>
      <c r="AI33" s="76">
        <v>0</v>
      </c>
      <c r="AJ33" s="76">
        <v>948</v>
      </c>
      <c r="AK33" s="76">
        <v>27</v>
      </c>
      <c r="AL33" s="76" t="b">
        <v>0</v>
      </c>
      <c r="AM33" s="78">
        <v>44653.498657407406</v>
      </c>
      <c r="AN33" s="76"/>
      <c r="AO33" s="76" t="s">
        <v>6699</v>
      </c>
      <c r="AP33" s="83" t="str">
        <f>HYPERLINK("https://t.co/XsecPtCCzm")</f>
        <v>https://t.co/XsecPtCCzm</v>
      </c>
      <c r="AQ33" s="83" t="str">
        <f>HYPERLINK("http://www.lojauchoa.com.br")</f>
        <v>http://www.lojauchoa.com.br</v>
      </c>
      <c r="AR33" s="76" t="s">
        <v>7017</v>
      </c>
      <c r="AS33" s="76"/>
      <c r="AT33" s="76"/>
      <c r="AU33" s="76"/>
      <c r="AV33" s="76">
        <v>1.6683690511967401E+18</v>
      </c>
      <c r="AW33" s="83" t="str">
        <f>HYPERLINK("https://t.co/XsecPtCCzm")</f>
        <v>https://t.co/XsecPtCCzm</v>
      </c>
      <c r="AX33" s="76" t="b">
        <v>0</v>
      </c>
      <c r="AY33" s="76"/>
      <c r="AZ33" s="76"/>
      <c r="BA33" s="76" t="b">
        <v>0</v>
      </c>
      <c r="BB33" s="76" t="b">
        <v>0</v>
      </c>
      <c r="BC33" s="76" t="b">
        <v>1</v>
      </c>
      <c r="BD33" s="76" t="b">
        <v>0</v>
      </c>
      <c r="BE33" s="76" t="b">
        <v>1</v>
      </c>
      <c r="BF33" s="76" t="b">
        <v>0</v>
      </c>
      <c r="BG33" s="76" t="b">
        <v>0</v>
      </c>
      <c r="BH33" s="83" t="str">
        <f>HYPERLINK("https://pbs.twimg.com/profile_banners/1510089977304170497/1661832340")</f>
        <v>https://pbs.twimg.com/profile_banners/1510089977304170497/1661832340</v>
      </c>
      <c r="BI33" s="76"/>
      <c r="BJ33" s="76" t="s">
        <v>7245</v>
      </c>
      <c r="BK33" s="76" t="b">
        <v>0</v>
      </c>
      <c r="BL33" s="76"/>
      <c r="BM33" s="76" t="s">
        <v>66</v>
      </c>
      <c r="BN33" s="76" t="s">
        <v>7247</v>
      </c>
      <c r="BO33" s="83" t="str">
        <f>HYPERLINK("https://twitter.com/uchoavf")</f>
        <v>https://twitter.com/uchoavf</v>
      </c>
      <c r="BP33" s="2"/>
    </row>
    <row r="34" spans="1:68" x14ac:dyDescent="0.25">
      <c r="A34" s="62" t="s">
        <v>254</v>
      </c>
      <c r="B34" s="63"/>
      <c r="C34" s="63"/>
      <c r="D34" s="64"/>
      <c r="E34" s="66"/>
      <c r="F34" s="102" t="str">
        <f>HYPERLINK("https://pbs.twimg.com/profile_images/1694784418395664384/mYFevYJG_normal.jpg")</f>
        <v>https://pbs.twimg.com/profile_images/1694784418395664384/mYFevYJG_normal.jpg</v>
      </c>
      <c r="G34" s="63"/>
      <c r="H34" s="67"/>
      <c r="I34" s="68"/>
      <c r="J34" s="68"/>
      <c r="K34" s="67" t="s">
        <v>7278</v>
      </c>
      <c r="L34" s="71"/>
      <c r="M34" s="72"/>
      <c r="N34" s="72"/>
      <c r="O34" s="73"/>
      <c r="P34" s="74"/>
      <c r="Q34" s="74"/>
      <c r="R34" s="86"/>
      <c r="S34" s="86"/>
      <c r="T34" s="86"/>
      <c r="U34" s="86"/>
      <c r="V34" s="48"/>
      <c r="W34" s="48"/>
      <c r="X34" s="48"/>
      <c r="Y34" s="48"/>
      <c r="Z34" s="47"/>
      <c r="AA34" s="69">
        <v>34</v>
      </c>
      <c r="AB34" s="69"/>
      <c r="AC34" s="70"/>
      <c r="AD34" s="76" t="s">
        <v>6162</v>
      </c>
      <c r="AE34" s="81" t="s">
        <v>5874</v>
      </c>
      <c r="AF34" s="76">
        <v>1403</v>
      </c>
      <c r="AG34" s="76">
        <v>909</v>
      </c>
      <c r="AH34" s="76">
        <v>1474</v>
      </c>
      <c r="AI34" s="76">
        <v>0</v>
      </c>
      <c r="AJ34" s="76">
        <v>312</v>
      </c>
      <c r="AK34" s="76">
        <v>1</v>
      </c>
      <c r="AL34" s="76" t="b">
        <v>0</v>
      </c>
      <c r="AM34" s="78">
        <v>45124.496840277781</v>
      </c>
      <c r="AN34" s="76" t="s">
        <v>6572</v>
      </c>
      <c r="AO34" s="76" t="s">
        <v>6700</v>
      </c>
      <c r="AP34" s="83" t="str">
        <f>HYPERLINK("https://t.co/UMz2sismgM")</f>
        <v>https://t.co/UMz2sismgM</v>
      </c>
      <c r="AQ34" s="83" t="str">
        <f>HYPERLINK("http://www.clodron.com")</f>
        <v>http://www.clodron.com</v>
      </c>
      <c r="AR34" s="76" t="s">
        <v>7018</v>
      </c>
      <c r="AS34" s="76"/>
      <c r="AT34" s="76"/>
      <c r="AU34" s="76"/>
      <c r="AV34" s="76"/>
      <c r="AW34" s="83" t="str">
        <f>HYPERLINK("https://t.co/UMz2sismgM")</f>
        <v>https://t.co/UMz2sismgM</v>
      </c>
      <c r="AX34" s="76" t="b">
        <v>1</v>
      </c>
      <c r="AY34" s="76"/>
      <c r="AZ34" s="76"/>
      <c r="BA34" s="76" t="b">
        <v>0</v>
      </c>
      <c r="BB34" s="76" t="b">
        <v>1</v>
      </c>
      <c r="BC34" s="76" t="b">
        <v>1</v>
      </c>
      <c r="BD34" s="76" t="b">
        <v>0</v>
      </c>
      <c r="BE34" s="76" t="b">
        <v>0</v>
      </c>
      <c r="BF34" s="76" t="b">
        <v>0</v>
      </c>
      <c r="BG34" s="76" t="b">
        <v>0</v>
      </c>
      <c r="BH34" s="83" t="str">
        <f>HYPERLINK("https://pbs.twimg.com/profile_banners/1680909045329281026/1692903521")</f>
        <v>https://pbs.twimg.com/profile_banners/1680909045329281026/1692903521</v>
      </c>
      <c r="BI34" s="76"/>
      <c r="BJ34" s="76" t="s">
        <v>7245</v>
      </c>
      <c r="BK34" s="76" t="b">
        <v>0</v>
      </c>
      <c r="BL34" s="76"/>
      <c r="BM34" s="76" t="s">
        <v>66</v>
      </c>
      <c r="BN34" s="76" t="s">
        <v>7247</v>
      </c>
      <c r="BO34" s="83" t="str">
        <f>HYPERLINK("https://twitter.com/crypnov4")</f>
        <v>https://twitter.com/crypnov4</v>
      </c>
      <c r="BP34" s="2"/>
    </row>
    <row r="35" spans="1:68" x14ac:dyDescent="0.25">
      <c r="A35" s="62" t="s">
        <v>565</v>
      </c>
      <c r="B35" s="63"/>
      <c r="C35" s="63"/>
      <c r="D35" s="64"/>
      <c r="E35" s="66"/>
      <c r="F35" s="102" t="str">
        <f>HYPERLINK("https://pbs.twimg.com/profile_images/1396897911498317826/ILf9wFJJ_normal.jpg")</f>
        <v>https://pbs.twimg.com/profile_images/1396897911498317826/ILf9wFJJ_normal.jpg</v>
      </c>
      <c r="G35" s="63"/>
      <c r="H35" s="67"/>
      <c r="I35" s="68"/>
      <c r="J35" s="68"/>
      <c r="K35" s="67" t="s">
        <v>7279</v>
      </c>
      <c r="L35" s="71"/>
      <c r="M35" s="72"/>
      <c r="N35" s="72"/>
      <c r="O35" s="73"/>
      <c r="P35" s="74"/>
      <c r="Q35" s="74"/>
      <c r="R35" s="86"/>
      <c r="S35" s="86"/>
      <c r="T35" s="86"/>
      <c r="U35" s="86"/>
      <c r="V35" s="48"/>
      <c r="W35" s="48"/>
      <c r="X35" s="48"/>
      <c r="Y35" s="48"/>
      <c r="Z35" s="47"/>
      <c r="AA35" s="69">
        <v>35</v>
      </c>
      <c r="AB35" s="69"/>
      <c r="AC35" s="70"/>
      <c r="AD35" s="76" t="s">
        <v>6163</v>
      </c>
      <c r="AE35" s="81" t="s">
        <v>5578</v>
      </c>
      <c r="AF35" s="76">
        <v>3067</v>
      </c>
      <c r="AG35" s="76">
        <v>310</v>
      </c>
      <c r="AH35" s="76">
        <v>69591</v>
      </c>
      <c r="AI35" s="76">
        <v>53</v>
      </c>
      <c r="AJ35" s="76">
        <v>25258</v>
      </c>
      <c r="AK35" s="76">
        <v>10374</v>
      </c>
      <c r="AL35" s="76" t="b">
        <v>0</v>
      </c>
      <c r="AM35" s="78">
        <v>39184.255798611113</v>
      </c>
      <c r="AN35" s="76" t="s">
        <v>6573</v>
      </c>
      <c r="AO35" s="76" t="s">
        <v>6701</v>
      </c>
      <c r="AP35" s="83" t="str">
        <f>HYPERLINK("https://t.co/re2Pg4q2a1")</f>
        <v>https://t.co/re2Pg4q2a1</v>
      </c>
      <c r="AQ35" s="83" t="str">
        <f>HYPERLINK("https://www.youtube.com/c/ImperativoMoral/videos")</f>
        <v>https://www.youtube.com/c/ImperativoMoral/videos</v>
      </c>
      <c r="AR35" s="76" t="s">
        <v>7019</v>
      </c>
      <c r="AS35" s="83" t="str">
        <f>HYPERLINK("https://t.co/WbXe84d9eI")</f>
        <v>https://t.co/WbXe84d9eI</v>
      </c>
      <c r="AT35" s="83" t="str">
        <f>HYPERLINK("http://vida.page/imperativomoral")</f>
        <v>http://vida.page/imperativomoral</v>
      </c>
      <c r="AU35" s="76" t="s">
        <v>7218</v>
      </c>
      <c r="AV35" s="76">
        <v>1.65630116891246E+18</v>
      </c>
      <c r="AW35" s="83" t="str">
        <f>HYPERLINK("https://t.co/re2Pg4q2a1")</f>
        <v>https://t.co/re2Pg4q2a1</v>
      </c>
      <c r="AX35" s="76" t="b">
        <v>0</v>
      </c>
      <c r="AY35" s="76"/>
      <c r="AZ35" s="76"/>
      <c r="BA35" s="76" t="b">
        <v>1</v>
      </c>
      <c r="BB35" s="76" t="b">
        <v>1</v>
      </c>
      <c r="BC35" s="76" t="b">
        <v>0</v>
      </c>
      <c r="BD35" s="76" t="b">
        <v>0</v>
      </c>
      <c r="BE35" s="76" t="b">
        <v>1</v>
      </c>
      <c r="BF35" s="76" t="b">
        <v>0</v>
      </c>
      <c r="BG35" s="76" t="b">
        <v>0</v>
      </c>
      <c r="BH35" s="83" t="str">
        <f>HYPERLINK("https://pbs.twimg.com/profile_banners/4309331/1556318989")</f>
        <v>https://pbs.twimg.com/profile_banners/4309331/1556318989</v>
      </c>
      <c r="BI35" s="76"/>
      <c r="BJ35" s="76" t="s">
        <v>7245</v>
      </c>
      <c r="BK35" s="76" t="b">
        <v>0</v>
      </c>
      <c r="BL35" s="76"/>
      <c r="BM35" s="76" t="s">
        <v>65</v>
      </c>
      <c r="BN35" s="76" t="s">
        <v>7247</v>
      </c>
      <c r="BO35" s="83" t="str">
        <f>HYPERLINK("https://twitter.com/stancalderelli")</f>
        <v>https://twitter.com/stancalderelli</v>
      </c>
      <c r="BP35" s="2"/>
    </row>
    <row r="36" spans="1:68" x14ac:dyDescent="0.25">
      <c r="A36" s="62" t="s">
        <v>255</v>
      </c>
      <c r="B36" s="63"/>
      <c r="C36" s="63"/>
      <c r="D36" s="64"/>
      <c r="E36" s="66"/>
      <c r="F36" s="102" t="str">
        <f>HYPERLINK("https://pbs.twimg.com/profile_images/1675551221371793409/ZF-959g0_normal.jpg")</f>
        <v>https://pbs.twimg.com/profile_images/1675551221371793409/ZF-959g0_normal.jpg</v>
      </c>
      <c r="G36" s="63"/>
      <c r="H36" s="67"/>
      <c r="I36" s="68"/>
      <c r="J36" s="68"/>
      <c r="K36" s="67" t="s">
        <v>7280</v>
      </c>
      <c r="L36" s="71"/>
      <c r="M36" s="72"/>
      <c r="N36" s="72"/>
      <c r="O36" s="73"/>
      <c r="P36" s="74"/>
      <c r="Q36" s="74"/>
      <c r="R36" s="86"/>
      <c r="S36" s="86"/>
      <c r="T36" s="86"/>
      <c r="U36" s="86"/>
      <c r="V36" s="48"/>
      <c r="W36" s="48"/>
      <c r="X36" s="48"/>
      <c r="Y36" s="48"/>
      <c r="Z36" s="47"/>
      <c r="AA36" s="69">
        <v>36</v>
      </c>
      <c r="AB36" s="69"/>
      <c r="AC36" s="70"/>
      <c r="AD36" s="76" t="s">
        <v>6164</v>
      </c>
      <c r="AE36" s="81" t="s">
        <v>5875</v>
      </c>
      <c r="AF36" s="76">
        <v>0</v>
      </c>
      <c r="AG36" s="76">
        <v>0</v>
      </c>
      <c r="AH36" s="76">
        <v>18</v>
      </c>
      <c r="AI36" s="76">
        <v>0</v>
      </c>
      <c r="AJ36" s="76">
        <v>0</v>
      </c>
      <c r="AK36" s="76">
        <v>0</v>
      </c>
      <c r="AL36" s="76" t="b">
        <v>0</v>
      </c>
      <c r="AM36" s="78">
        <v>44658.689606481479</v>
      </c>
      <c r="AN36" s="76"/>
      <c r="AO36" s="76" t="s">
        <v>6702</v>
      </c>
      <c r="AP36" s="83" t="str">
        <f>HYPERLINK("https://t.co/fUfimOMTP6")</f>
        <v>https://t.co/fUfimOMTP6</v>
      </c>
      <c r="AQ36" s="83" t="str">
        <f>HYPERLINK("https://linkr.bio/iniciar--agoraaa")</f>
        <v>https://linkr.bio/iniciar--agoraaa</v>
      </c>
      <c r="AR36" s="76" t="s">
        <v>7020</v>
      </c>
      <c r="AS36" s="76"/>
      <c r="AT36" s="76"/>
      <c r="AU36" s="76"/>
      <c r="AV36" s="76"/>
      <c r="AW36" s="83" t="str">
        <f>HYPERLINK("https://t.co/fUfimOMTP6")</f>
        <v>https://t.co/fUfimOMTP6</v>
      </c>
      <c r="AX36" s="76" t="b">
        <v>0</v>
      </c>
      <c r="AY36" s="76"/>
      <c r="AZ36" s="76"/>
      <c r="BA36" s="76" t="b">
        <v>0</v>
      </c>
      <c r="BB36" s="76" t="b">
        <v>0</v>
      </c>
      <c r="BC36" s="76" t="b">
        <v>1</v>
      </c>
      <c r="BD36" s="76" t="b">
        <v>0</v>
      </c>
      <c r="BE36" s="76" t="b">
        <v>0</v>
      </c>
      <c r="BF36" s="76" t="b">
        <v>0</v>
      </c>
      <c r="BG36" s="76" t="b">
        <v>0</v>
      </c>
      <c r="BH36" s="76"/>
      <c r="BI36" s="76"/>
      <c r="BJ36" s="76" t="s">
        <v>7245</v>
      </c>
      <c r="BK36" s="76" t="b">
        <v>0</v>
      </c>
      <c r="BL36" s="76"/>
      <c r="BM36" s="76" t="s">
        <v>66</v>
      </c>
      <c r="BN36" s="76" t="s">
        <v>7247</v>
      </c>
      <c r="BO36" s="83" t="str">
        <f>HYPERLINK("https://twitter.com/breenossantos")</f>
        <v>https://twitter.com/breenossantos</v>
      </c>
      <c r="BP36" s="2"/>
    </row>
    <row r="37" spans="1:68" x14ac:dyDescent="0.25">
      <c r="A37" s="62" t="s">
        <v>256</v>
      </c>
      <c r="B37" s="63"/>
      <c r="C37" s="63"/>
      <c r="D37" s="64"/>
      <c r="E37" s="66"/>
      <c r="F37" s="102" t="str">
        <f>HYPERLINK("https://pbs.twimg.com/profile_images/1654129215749656576/AuddxuuG_normal.jpg")</f>
        <v>https://pbs.twimg.com/profile_images/1654129215749656576/AuddxuuG_normal.jpg</v>
      </c>
      <c r="G37" s="63"/>
      <c r="H37" s="67"/>
      <c r="I37" s="68"/>
      <c r="J37" s="68"/>
      <c r="K37" s="67" t="s">
        <v>7281</v>
      </c>
      <c r="L37" s="71"/>
      <c r="M37" s="72"/>
      <c r="N37" s="72"/>
      <c r="O37" s="73"/>
      <c r="P37" s="74"/>
      <c r="Q37" s="74"/>
      <c r="R37" s="86"/>
      <c r="S37" s="86"/>
      <c r="T37" s="86"/>
      <c r="U37" s="86"/>
      <c r="V37" s="48"/>
      <c r="W37" s="48"/>
      <c r="X37" s="48"/>
      <c r="Y37" s="48"/>
      <c r="Z37" s="47"/>
      <c r="AA37" s="69">
        <v>37</v>
      </c>
      <c r="AB37" s="69"/>
      <c r="AC37" s="70"/>
      <c r="AD37" s="76" t="s">
        <v>6165</v>
      </c>
      <c r="AE37" s="81" t="s">
        <v>5876</v>
      </c>
      <c r="AF37" s="76">
        <v>11</v>
      </c>
      <c r="AG37" s="76">
        <v>40</v>
      </c>
      <c r="AH37" s="76">
        <v>39</v>
      </c>
      <c r="AI37" s="76">
        <v>1</v>
      </c>
      <c r="AJ37" s="76">
        <v>9</v>
      </c>
      <c r="AK37" s="76">
        <v>0</v>
      </c>
      <c r="AL37" s="76" t="b">
        <v>0</v>
      </c>
      <c r="AM37" s="78">
        <v>45050.596018518518</v>
      </c>
      <c r="AN37" s="76" t="s">
        <v>6574</v>
      </c>
      <c r="AO37" s="76" t="s">
        <v>6703</v>
      </c>
      <c r="AP37" s="76"/>
      <c r="AQ37" s="76"/>
      <c r="AR37" s="76"/>
      <c r="AS37" s="76"/>
      <c r="AT37" s="76"/>
      <c r="AU37" s="76"/>
      <c r="AV37" s="76"/>
      <c r="AW37" s="76"/>
      <c r="AX37" s="76" t="b">
        <v>0</v>
      </c>
      <c r="AY37" s="76"/>
      <c r="AZ37" s="76"/>
      <c r="BA37" s="76" t="b">
        <v>0</v>
      </c>
      <c r="BB37" s="76" t="b">
        <v>1</v>
      </c>
      <c r="BC37" s="76" t="b">
        <v>1</v>
      </c>
      <c r="BD37" s="76" t="b">
        <v>0</v>
      </c>
      <c r="BE37" s="76" t="b">
        <v>0</v>
      </c>
      <c r="BF37" s="76" t="b">
        <v>0</v>
      </c>
      <c r="BG37" s="76" t="b">
        <v>0</v>
      </c>
      <c r="BH37" s="83" t="str">
        <f>HYPERLINK("https://pbs.twimg.com/profile_banners/1654128217580797952/1684853249")</f>
        <v>https://pbs.twimg.com/profile_banners/1654128217580797952/1684853249</v>
      </c>
      <c r="BI37" s="76"/>
      <c r="BJ37" s="76" t="s">
        <v>7245</v>
      </c>
      <c r="BK37" s="76" t="b">
        <v>0</v>
      </c>
      <c r="BL37" s="76"/>
      <c r="BM37" s="76" t="s">
        <v>66</v>
      </c>
      <c r="BN37" s="76" t="s">
        <v>7247</v>
      </c>
      <c r="BO37" s="83" t="str">
        <f>HYPERLINK("https://twitter.com/bitfreedomgus")</f>
        <v>https://twitter.com/bitfreedomgus</v>
      </c>
      <c r="BP37" s="2"/>
    </row>
    <row r="38" spans="1:68" x14ac:dyDescent="0.25">
      <c r="A38" s="62" t="s">
        <v>566</v>
      </c>
      <c r="B38" s="63"/>
      <c r="C38" s="63"/>
      <c r="D38" s="64"/>
      <c r="E38" s="66"/>
      <c r="F38" s="102" t="str">
        <f>HYPERLINK("https://pbs.twimg.com/profile_images/1677457399324573704/RwSTg07W_normal.jpg")</f>
        <v>https://pbs.twimg.com/profile_images/1677457399324573704/RwSTg07W_normal.jpg</v>
      </c>
      <c r="G38" s="63"/>
      <c r="H38" s="67"/>
      <c r="I38" s="68"/>
      <c r="J38" s="68"/>
      <c r="K38" s="67" t="s">
        <v>7282</v>
      </c>
      <c r="L38" s="71"/>
      <c r="M38" s="72"/>
      <c r="N38" s="72"/>
      <c r="O38" s="73"/>
      <c r="P38" s="74"/>
      <c r="Q38" s="74"/>
      <c r="R38" s="86"/>
      <c r="S38" s="86"/>
      <c r="T38" s="86"/>
      <c r="U38" s="86"/>
      <c r="V38" s="48"/>
      <c r="W38" s="48"/>
      <c r="X38" s="48"/>
      <c r="Y38" s="48"/>
      <c r="Z38" s="47"/>
      <c r="AA38" s="69">
        <v>38</v>
      </c>
      <c r="AB38" s="69"/>
      <c r="AC38" s="70"/>
      <c r="AD38" s="76" t="s">
        <v>6166</v>
      </c>
      <c r="AE38" s="81" t="s">
        <v>5579</v>
      </c>
      <c r="AF38" s="76">
        <v>3606</v>
      </c>
      <c r="AG38" s="76">
        <v>243</v>
      </c>
      <c r="AH38" s="76">
        <v>2389</v>
      </c>
      <c r="AI38" s="76">
        <v>49</v>
      </c>
      <c r="AJ38" s="76">
        <v>687</v>
      </c>
      <c r="AK38" s="76">
        <v>856</v>
      </c>
      <c r="AL38" s="76" t="b">
        <v>0</v>
      </c>
      <c r="AM38" s="78">
        <v>41980.597581018519</v>
      </c>
      <c r="AN38" s="76" t="s">
        <v>6575</v>
      </c>
      <c r="AO38" s="76" t="s">
        <v>6704</v>
      </c>
      <c r="AP38" s="83" t="str">
        <f>HYPERLINK("https://t.co/AMu1ajNUHN")</f>
        <v>https://t.co/AMu1ajNUHN</v>
      </c>
      <c r="AQ38" s="83" t="str">
        <f>HYPERLINK("http://www.smartpay.com.vc")</f>
        <v>http://www.smartpay.com.vc</v>
      </c>
      <c r="AR38" s="76" t="s">
        <v>7021</v>
      </c>
      <c r="AS38" s="76"/>
      <c r="AT38" s="76"/>
      <c r="AU38" s="76"/>
      <c r="AV38" s="76">
        <v>1.6889196431368901E+18</v>
      </c>
      <c r="AW38" s="83" t="str">
        <f>HYPERLINK("https://t.co/AMu1ajNUHN")</f>
        <v>https://t.co/AMu1ajNUHN</v>
      </c>
      <c r="AX38" s="76" t="b">
        <v>1</v>
      </c>
      <c r="AY38" s="76"/>
      <c r="AZ38" s="76"/>
      <c r="BA38" s="76" t="b">
        <v>0</v>
      </c>
      <c r="BB38" s="76" t="b">
        <v>1</v>
      </c>
      <c r="BC38" s="76" t="b">
        <v>1</v>
      </c>
      <c r="BD38" s="76" t="b">
        <v>0</v>
      </c>
      <c r="BE38" s="76" t="b">
        <v>0</v>
      </c>
      <c r="BF38" s="76" t="b">
        <v>0</v>
      </c>
      <c r="BG38" s="76" t="b">
        <v>0</v>
      </c>
      <c r="BH38" s="83" t="str">
        <f>HYPERLINK("https://pbs.twimg.com/profile_banners/2909314349/1695055640")</f>
        <v>https://pbs.twimg.com/profile_banners/2909314349/1695055640</v>
      </c>
      <c r="BI38" s="76"/>
      <c r="BJ38" s="76" t="s">
        <v>7245</v>
      </c>
      <c r="BK38" s="76" t="b">
        <v>0</v>
      </c>
      <c r="BL38" s="76"/>
      <c r="BM38" s="76" t="s">
        <v>66</v>
      </c>
      <c r="BN38" s="76" t="s">
        <v>7247</v>
      </c>
      <c r="BO38" s="83" t="str">
        <f>HYPERLINK("https://twitter.com/rocelolopes")</f>
        <v>https://twitter.com/rocelolopes</v>
      </c>
      <c r="BP38" s="2"/>
    </row>
    <row r="39" spans="1:68" x14ac:dyDescent="0.25">
      <c r="A39" s="62" t="s">
        <v>257</v>
      </c>
      <c r="B39" s="63"/>
      <c r="C39" s="63"/>
      <c r="D39" s="64"/>
      <c r="E39" s="66"/>
      <c r="F39" s="102" t="str">
        <f>HYPERLINK("https://pbs.twimg.com/profile_images/1646506136282218496/ff9lhh3t_normal.jpg")</f>
        <v>https://pbs.twimg.com/profile_images/1646506136282218496/ff9lhh3t_normal.jpg</v>
      </c>
      <c r="G39" s="63"/>
      <c r="H39" s="67"/>
      <c r="I39" s="68"/>
      <c r="J39" s="68"/>
      <c r="K39" s="67" t="s">
        <v>7283</v>
      </c>
      <c r="L39" s="71"/>
      <c r="M39" s="72"/>
      <c r="N39" s="72"/>
      <c r="O39" s="73"/>
      <c r="P39" s="74"/>
      <c r="Q39" s="74"/>
      <c r="R39" s="86"/>
      <c r="S39" s="86"/>
      <c r="T39" s="86"/>
      <c r="U39" s="86"/>
      <c r="V39" s="48"/>
      <c r="W39" s="48"/>
      <c r="X39" s="48"/>
      <c r="Y39" s="48"/>
      <c r="Z39" s="47"/>
      <c r="AA39" s="69">
        <v>39</v>
      </c>
      <c r="AB39" s="69"/>
      <c r="AC39" s="70"/>
      <c r="AD39" s="76" t="s">
        <v>6167</v>
      </c>
      <c r="AE39" s="81" t="s">
        <v>5877</v>
      </c>
      <c r="AF39" s="76">
        <v>3</v>
      </c>
      <c r="AG39" s="76">
        <v>0</v>
      </c>
      <c r="AH39" s="76">
        <v>9</v>
      </c>
      <c r="AI39" s="76">
        <v>0</v>
      </c>
      <c r="AJ39" s="76">
        <v>0</v>
      </c>
      <c r="AK39" s="76">
        <v>9</v>
      </c>
      <c r="AL39" s="76" t="b">
        <v>0</v>
      </c>
      <c r="AM39" s="78">
        <v>45008.056493055556</v>
      </c>
      <c r="AN39" s="76"/>
      <c r="AO39" s="76"/>
      <c r="AP39" s="76"/>
      <c r="AQ39" s="76"/>
      <c r="AR39" s="76"/>
      <c r="AS39" s="76"/>
      <c r="AT39" s="76"/>
      <c r="AU39" s="76"/>
      <c r="AV39" s="76"/>
      <c r="AW39" s="76"/>
      <c r="AX39" s="76" t="b">
        <v>0</v>
      </c>
      <c r="AY39" s="76"/>
      <c r="AZ39" s="76"/>
      <c r="BA39" s="76" t="b">
        <v>0</v>
      </c>
      <c r="BB39" s="76" t="b">
        <v>1</v>
      </c>
      <c r="BC39" s="76" t="b">
        <v>1</v>
      </c>
      <c r="BD39" s="76" t="b">
        <v>0</v>
      </c>
      <c r="BE39" s="76" t="b">
        <v>0</v>
      </c>
      <c r="BF39" s="76" t="b">
        <v>0</v>
      </c>
      <c r="BG39" s="76" t="b">
        <v>0</v>
      </c>
      <c r="BH39" s="83" t="str">
        <f>HYPERLINK("https://pbs.twimg.com/profile_banners/1638712419814916096/1681392640")</f>
        <v>https://pbs.twimg.com/profile_banners/1638712419814916096/1681392640</v>
      </c>
      <c r="BI39" s="76"/>
      <c r="BJ39" s="76" t="s">
        <v>7245</v>
      </c>
      <c r="BK39" s="76" t="b">
        <v>0</v>
      </c>
      <c r="BL39" s="76"/>
      <c r="BM39" s="76" t="s">
        <v>66</v>
      </c>
      <c r="BN39" s="76" t="s">
        <v>7247</v>
      </c>
      <c r="BO39" s="83" t="str">
        <f>HYPERLINK("https://twitter.com/bossladymillion")</f>
        <v>https://twitter.com/bossladymillion</v>
      </c>
      <c r="BP39" s="2"/>
    </row>
    <row r="40" spans="1:68" x14ac:dyDescent="0.25">
      <c r="A40" s="62" t="s">
        <v>258</v>
      </c>
      <c r="B40" s="63"/>
      <c r="C40" s="63"/>
      <c r="D40" s="64"/>
      <c r="E40" s="66"/>
      <c r="F40" s="102" t="str">
        <f>HYPERLINK("https://pbs.twimg.com/profile_images/1586870796064116740/nAZohRyF_normal.jpg")</f>
        <v>https://pbs.twimg.com/profile_images/1586870796064116740/nAZohRyF_normal.jpg</v>
      </c>
      <c r="G40" s="63"/>
      <c r="H40" s="67"/>
      <c r="I40" s="68"/>
      <c r="J40" s="68"/>
      <c r="K40" s="67" t="s">
        <v>7284</v>
      </c>
      <c r="L40" s="71"/>
      <c r="M40" s="72"/>
      <c r="N40" s="72"/>
      <c r="O40" s="73"/>
      <c r="P40" s="74"/>
      <c r="Q40" s="74"/>
      <c r="R40" s="86"/>
      <c r="S40" s="86"/>
      <c r="T40" s="86"/>
      <c r="U40" s="86"/>
      <c r="V40" s="48"/>
      <c r="W40" s="48"/>
      <c r="X40" s="48"/>
      <c r="Y40" s="48"/>
      <c r="Z40" s="47"/>
      <c r="AA40" s="69">
        <v>40</v>
      </c>
      <c r="AB40" s="69"/>
      <c r="AC40" s="70"/>
      <c r="AD40" s="76" t="s">
        <v>6168</v>
      </c>
      <c r="AE40" s="81" t="s">
        <v>6488</v>
      </c>
      <c r="AF40" s="76">
        <v>2219</v>
      </c>
      <c r="AG40" s="76">
        <v>3157</v>
      </c>
      <c r="AH40" s="76">
        <v>5429</v>
      </c>
      <c r="AI40" s="76">
        <v>0</v>
      </c>
      <c r="AJ40" s="76">
        <v>2287</v>
      </c>
      <c r="AK40" s="76">
        <v>1430</v>
      </c>
      <c r="AL40" s="76" t="b">
        <v>0</v>
      </c>
      <c r="AM40" s="78">
        <v>41951.989479166667</v>
      </c>
      <c r="AN40" s="76"/>
      <c r="AO40" s="76" t="s">
        <v>6705</v>
      </c>
      <c r="AP40" s="76"/>
      <c r="AQ40" s="76"/>
      <c r="AR40" s="76"/>
      <c r="AS40" s="76"/>
      <c r="AT40" s="76"/>
      <c r="AU40" s="76"/>
      <c r="AV40" s="76">
        <v>1.58126279848653E+18</v>
      </c>
      <c r="AW40" s="76"/>
      <c r="AX40" s="76" t="b">
        <v>0</v>
      </c>
      <c r="AY40" s="76"/>
      <c r="AZ40" s="76"/>
      <c r="BA40" s="76" t="b">
        <v>0</v>
      </c>
      <c r="BB40" s="76" t="b">
        <v>1</v>
      </c>
      <c r="BC40" s="76" t="b">
        <v>0</v>
      </c>
      <c r="BD40" s="76" t="b">
        <v>0</v>
      </c>
      <c r="BE40" s="76" t="b">
        <v>1</v>
      </c>
      <c r="BF40" s="76" t="b">
        <v>0</v>
      </c>
      <c r="BG40" s="76" t="b">
        <v>0</v>
      </c>
      <c r="BH40" s="83" t="str">
        <f>HYPERLINK("https://pbs.twimg.com/profile_banners/2868134025/1674810434")</f>
        <v>https://pbs.twimg.com/profile_banners/2868134025/1674810434</v>
      </c>
      <c r="BI40" s="76"/>
      <c r="BJ40" s="76" t="s">
        <v>7245</v>
      </c>
      <c r="BK40" s="76" t="b">
        <v>0</v>
      </c>
      <c r="BL40" s="76"/>
      <c r="BM40" s="76" t="s">
        <v>66</v>
      </c>
      <c r="BN40" s="76" t="s">
        <v>7247</v>
      </c>
      <c r="BO40" s="83" t="str">
        <f>HYPERLINK("https://twitter.com/sandroveiga_")</f>
        <v>https://twitter.com/sandroveiga_</v>
      </c>
      <c r="BP40" s="2"/>
    </row>
    <row r="41" spans="1:68" x14ac:dyDescent="0.25">
      <c r="A41" s="62" t="s">
        <v>259</v>
      </c>
      <c r="B41" s="63"/>
      <c r="C41" s="63"/>
      <c r="D41" s="64"/>
      <c r="E41" s="66"/>
      <c r="F41" s="102" t="str">
        <f>HYPERLINK("https://pbs.twimg.com/profile_images/1520839344982040577/ejh6peaa_normal.png")</f>
        <v>https://pbs.twimg.com/profile_images/1520839344982040577/ejh6peaa_normal.png</v>
      </c>
      <c r="G41" s="63"/>
      <c r="H41" s="67"/>
      <c r="I41" s="68"/>
      <c r="J41" s="68"/>
      <c r="K41" s="67" t="s">
        <v>7285</v>
      </c>
      <c r="L41" s="71"/>
      <c r="M41" s="72"/>
      <c r="N41" s="72"/>
      <c r="O41" s="73"/>
      <c r="P41" s="74"/>
      <c r="Q41" s="74"/>
      <c r="R41" s="86"/>
      <c r="S41" s="86"/>
      <c r="T41" s="86"/>
      <c r="U41" s="86"/>
      <c r="V41" s="48"/>
      <c r="W41" s="48"/>
      <c r="X41" s="48"/>
      <c r="Y41" s="48"/>
      <c r="Z41" s="47"/>
      <c r="AA41" s="69">
        <v>41</v>
      </c>
      <c r="AB41" s="69"/>
      <c r="AC41" s="70"/>
      <c r="AD41" s="76" t="s">
        <v>6169</v>
      </c>
      <c r="AE41" s="81" t="s">
        <v>5878</v>
      </c>
      <c r="AF41" s="76">
        <v>75</v>
      </c>
      <c r="AG41" s="76">
        <v>665</v>
      </c>
      <c r="AH41" s="76">
        <v>1560</v>
      </c>
      <c r="AI41" s="76">
        <v>0</v>
      </c>
      <c r="AJ41" s="76">
        <v>2</v>
      </c>
      <c r="AK41" s="76">
        <v>755</v>
      </c>
      <c r="AL41" s="76" t="b">
        <v>0</v>
      </c>
      <c r="AM41" s="78">
        <v>43425.093148148146</v>
      </c>
      <c r="AN41" s="76"/>
      <c r="AO41" s="76" t="s">
        <v>6706</v>
      </c>
      <c r="AP41" s="83" t="str">
        <f>HYPERLINK("https://t.co/v3g4MWJXyg")</f>
        <v>https://t.co/v3g4MWJXyg</v>
      </c>
      <c r="AQ41" s="83" t="str">
        <f>HYPERLINK("https://linktr.ee/claudio_toledo")</f>
        <v>https://linktr.ee/claudio_toledo</v>
      </c>
      <c r="AR41" s="76" t="s">
        <v>7022</v>
      </c>
      <c r="AS41" s="76"/>
      <c r="AT41" s="76"/>
      <c r="AU41" s="76"/>
      <c r="AV41" s="76"/>
      <c r="AW41" s="83" t="str">
        <f>HYPERLINK("https://t.co/v3g4MWJXyg")</f>
        <v>https://t.co/v3g4MWJXyg</v>
      </c>
      <c r="AX41" s="76" t="b">
        <v>0</v>
      </c>
      <c r="AY41" s="76"/>
      <c r="AZ41" s="76"/>
      <c r="BA41" s="76" t="b">
        <v>0</v>
      </c>
      <c r="BB41" s="76" t="b">
        <v>1</v>
      </c>
      <c r="BC41" s="76" t="b">
        <v>1</v>
      </c>
      <c r="BD41" s="76" t="b">
        <v>0</v>
      </c>
      <c r="BE41" s="76" t="b">
        <v>0</v>
      </c>
      <c r="BF41" s="76" t="b">
        <v>0</v>
      </c>
      <c r="BG41" s="76" t="b">
        <v>0</v>
      </c>
      <c r="BH41" s="83" t="str">
        <f>HYPERLINK("https://pbs.twimg.com/profile_banners/1065065793967325184/1571490601")</f>
        <v>https://pbs.twimg.com/profile_banners/1065065793967325184/1571490601</v>
      </c>
      <c r="BI41" s="76"/>
      <c r="BJ41" s="76" t="s">
        <v>7245</v>
      </c>
      <c r="BK41" s="76" t="b">
        <v>0</v>
      </c>
      <c r="BL41" s="76"/>
      <c r="BM41" s="76" t="s">
        <v>66</v>
      </c>
      <c r="BN41" s="76" t="s">
        <v>7247</v>
      </c>
      <c r="BO41" s="83" t="str">
        <f>HYPERLINK("https://twitter.com/egsinvestiment2")</f>
        <v>https://twitter.com/egsinvestiment2</v>
      </c>
      <c r="BP41" s="2"/>
    </row>
    <row r="42" spans="1:68" x14ac:dyDescent="0.25">
      <c r="A42" s="62" t="s">
        <v>260</v>
      </c>
      <c r="B42" s="63"/>
      <c r="C42" s="63"/>
      <c r="D42" s="64"/>
      <c r="E42" s="66"/>
      <c r="F42" s="102" t="str">
        <f>HYPERLINK("https://pbs.twimg.com/profile_images/1390017419071168513/0EO9Gs8g_normal.jpg")</f>
        <v>https://pbs.twimg.com/profile_images/1390017419071168513/0EO9Gs8g_normal.jpg</v>
      </c>
      <c r="G42" s="63"/>
      <c r="H42" s="67"/>
      <c r="I42" s="68"/>
      <c r="J42" s="68"/>
      <c r="K42" s="67" t="s">
        <v>7286</v>
      </c>
      <c r="L42" s="71"/>
      <c r="M42" s="72"/>
      <c r="N42" s="72"/>
      <c r="O42" s="73"/>
      <c r="P42" s="74"/>
      <c r="Q42" s="74"/>
      <c r="R42" s="86"/>
      <c r="S42" s="86"/>
      <c r="T42" s="86"/>
      <c r="U42" s="86"/>
      <c r="V42" s="48"/>
      <c r="W42" s="48"/>
      <c r="X42" s="48"/>
      <c r="Y42" s="48"/>
      <c r="Z42" s="47"/>
      <c r="AA42" s="69">
        <v>42</v>
      </c>
      <c r="AB42" s="69"/>
      <c r="AC42" s="70"/>
      <c r="AD42" s="76" t="s">
        <v>6170</v>
      </c>
      <c r="AE42" s="81" t="s">
        <v>5879</v>
      </c>
      <c r="AF42" s="76">
        <v>198</v>
      </c>
      <c r="AG42" s="76">
        <v>1712</v>
      </c>
      <c r="AH42" s="76">
        <v>238</v>
      </c>
      <c r="AI42" s="76">
        <v>1</v>
      </c>
      <c r="AJ42" s="76">
        <v>22</v>
      </c>
      <c r="AK42" s="76">
        <v>222</v>
      </c>
      <c r="AL42" s="76" t="b">
        <v>0</v>
      </c>
      <c r="AM42" s="78">
        <v>44321.788275462961</v>
      </c>
      <c r="AN42" s="76" t="s">
        <v>3752</v>
      </c>
      <c r="AO42" s="76" t="s">
        <v>6707</v>
      </c>
      <c r="AP42" s="83" t="str">
        <f>HYPERLINK("https://t.co/5aACCoU880")</f>
        <v>https://t.co/5aACCoU880</v>
      </c>
      <c r="AQ42" s="83" t="str">
        <f>HYPERLINK("https://wa.me/message/O4NMUI6LG7LIE1")</f>
        <v>https://wa.me/message/O4NMUI6LG7LIE1</v>
      </c>
      <c r="AR42" s="76" t="s">
        <v>7023</v>
      </c>
      <c r="AS42" s="76"/>
      <c r="AT42" s="76"/>
      <c r="AU42" s="76"/>
      <c r="AV42" s="76"/>
      <c r="AW42" s="83" t="str">
        <f>HYPERLINK("https://t.co/5aACCoU880")</f>
        <v>https://t.co/5aACCoU880</v>
      </c>
      <c r="AX42" s="76" t="b">
        <v>0</v>
      </c>
      <c r="AY42" s="76"/>
      <c r="AZ42" s="76"/>
      <c r="BA42" s="76" t="b">
        <v>1</v>
      </c>
      <c r="BB42" s="76" t="b">
        <v>0</v>
      </c>
      <c r="BC42" s="76" t="b">
        <v>1</v>
      </c>
      <c r="BD42" s="76" t="b">
        <v>0</v>
      </c>
      <c r="BE42" s="76" t="b">
        <v>1</v>
      </c>
      <c r="BF42" s="76" t="b">
        <v>0</v>
      </c>
      <c r="BG42" s="76" t="b">
        <v>0</v>
      </c>
      <c r="BH42" s="83" t="str">
        <f>HYPERLINK("https://pbs.twimg.com/profile_banners/1390017150350467072/1695083667")</f>
        <v>https://pbs.twimg.com/profile_banners/1390017150350467072/1695083667</v>
      </c>
      <c r="BI42" s="76"/>
      <c r="BJ42" s="76" t="s">
        <v>7245</v>
      </c>
      <c r="BK42" s="76" t="b">
        <v>0</v>
      </c>
      <c r="BL42" s="76"/>
      <c r="BM42" s="76" t="s">
        <v>66</v>
      </c>
      <c r="BN42" s="76" t="s">
        <v>7247</v>
      </c>
      <c r="BO42" s="83" t="str">
        <f>HYPERLINK("https://twitter.com/agconstelacao")</f>
        <v>https://twitter.com/agconstelacao</v>
      </c>
      <c r="BP42" s="2"/>
    </row>
    <row r="43" spans="1:68" x14ac:dyDescent="0.25">
      <c r="A43" s="62" t="s">
        <v>261</v>
      </c>
      <c r="B43" s="63"/>
      <c r="C43" s="63"/>
      <c r="D43" s="64"/>
      <c r="E43" s="66"/>
      <c r="F43" s="102" t="str">
        <f>HYPERLINK("https://pbs.twimg.com/profile_images/1276150299560992770/f8LsoPYA_normal.jpg")</f>
        <v>https://pbs.twimg.com/profile_images/1276150299560992770/f8LsoPYA_normal.jpg</v>
      </c>
      <c r="G43" s="63"/>
      <c r="H43" s="67"/>
      <c r="I43" s="68"/>
      <c r="J43" s="68"/>
      <c r="K43" s="67" t="s">
        <v>7287</v>
      </c>
      <c r="L43" s="71"/>
      <c r="M43" s="72"/>
      <c r="N43" s="72"/>
      <c r="O43" s="73"/>
      <c r="P43" s="74"/>
      <c r="Q43" s="74"/>
      <c r="R43" s="86"/>
      <c r="S43" s="86"/>
      <c r="T43" s="86"/>
      <c r="U43" s="86"/>
      <c r="V43" s="48"/>
      <c r="W43" s="48"/>
      <c r="X43" s="48"/>
      <c r="Y43" s="48"/>
      <c r="Z43" s="47"/>
      <c r="AA43" s="69">
        <v>43</v>
      </c>
      <c r="AB43" s="69"/>
      <c r="AC43" s="70"/>
      <c r="AD43" s="76" t="s">
        <v>6171</v>
      </c>
      <c r="AE43" s="81" t="s">
        <v>5880</v>
      </c>
      <c r="AF43" s="76">
        <v>58</v>
      </c>
      <c r="AG43" s="76">
        <v>4</v>
      </c>
      <c r="AH43" s="76">
        <v>901</v>
      </c>
      <c r="AI43" s="76">
        <v>4</v>
      </c>
      <c r="AJ43" s="76">
        <v>3</v>
      </c>
      <c r="AK43" s="76">
        <v>890</v>
      </c>
      <c r="AL43" s="76" t="b">
        <v>0</v>
      </c>
      <c r="AM43" s="78">
        <v>43152.878703703704</v>
      </c>
      <c r="AN43" s="76"/>
      <c r="AO43" s="76" t="s">
        <v>6708</v>
      </c>
      <c r="AP43" s="83" t="str">
        <f>HYPERLINK("https://t.co/fMRDv0Jekv")</f>
        <v>https://t.co/fMRDv0Jekv</v>
      </c>
      <c r="AQ43" s="83" t="str">
        <f>HYPERLINK("https://www.williamhunt.com.br/segredos-dos-investimentos-para-iniciantes")</f>
        <v>https://www.williamhunt.com.br/segredos-dos-investimentos-para-iniciantes</v>
      </c>
      <c r="AR43" s="76" t="s">
        <v>7024</v>
      </c>
      <c r="AS43" s="76"/>
      <c r="AT43" s="76"/>
      <c r="AU43" s="76"/>
      <c r="AV43" s="76"/>
      <c r="AW43" s="83" t="str">
        <f>HYPERLINK("https://t.co/fMRDv0Jekv")</f>
        <v>https://t.co/fMRDv0Jekv</v>
      </c>
      <c r="AX43" s="76" t="b">
        <v>0</v>
      </c>
      <c r="AY43" s="76"/>
      <c r="AZ43" s="76"/>
      <c r="BA43" s="76" t="b">
        <v>0</v>
      </c>
      <c r="BB43" s="76" t="b">
        <v>1</v>
      </c>
      <c r="BC43" s="76" t="b">
        <v>0</v>
      </c>
      <c r="BD43" s="76" t="b">
        <v>0</v>
      </c>
      <c r="BE43" s="76" t="b">
        <v>0</v>
      </c>
      <c r="BF43" s="76" t="b">
        <v>0</v>
      </c>
      <c r="BG43" s="76" t="b">
        <v>0</v>
      </c>
      <c r="BH43" s="83" t="str">
        <f>HYPERLINK("https://pbs.twimg.com/profile_banners/966418582421811200/1678219927")</f>
        <v>https://pbs.twimg.com/profile_banners/966418582421811200/1678219927</v>
      </c>
      <c r="BI43" s="76"/>
      <c r="BJ43" s="76" t="s">
        <v>7245</v>
      </c>
      <c r="BK43" s="76" t="b">
        <v>0</v>
      </c>
      <c r="BL43" s="76"/>
      <c r="BM43" s="76" t="s">
        <v>66</v>
      </c>
      <c r="BN43" s="76" t="s">
        <v>7247</v>
      </c>
      <c r="BO43" s="83" t="str">
        <f>HYPERLINK("https://twitter.com/williamhuntbr")</f>
        <v>https://twitter.com/williamhuntbr</v>
      </c>
      <c r="BP43" s="2"/>
    </row>
    <row r="44" spans="1:68" x14ac:dyDescent="0.25">
      <c r="A44" s="62" t="s">
        <v>262</v>
      </c>
      <c r="B44" s="63"/>
      <c r="C44" s="63"/>
      <c r="D44" s="64"/>
      <c r="E44" s="66"/>
      <c r="F44" s="102" t="str">
        <f>HYPERLINK("https://pbs.twimg.com/profile_images/1636205837952720896/Bh6PVTfI_normal.jpg")</f>
        <v>https://pbs.twimg.com/profile_images/1636205837952720896/Bh6PVTfI_normal.jpg</v>
      </c>
      <c r="G44" s="63"/>
      <c r="H44" s="67"/>
      <c r="I44" s="68"/>
      <c r="J44" s="68"/>
      <c r="K44" s="67" t="s">
        <v>7288</v>
      </c>
      <c r="L44" s="71"/>
      <c r="M44" s="72"/>
      <c r="N44" s="72"/>
      <c r="O44" s="73"/>
      <c r="P44" s="74"/>
      <c r="Q44" s="74"/>
      <c r="R44" s="86"/>
      <c r="S44" s="86"/>
      <c r="T44" s="86"/>
      <c r="U44" s="86"/>
      <c r="V44" s="48"/>
      <c r="W44" s="48"/>
      <c r="X44" s="48"/>
      <c r="Y44" s="48"/>
      <c r="Z44" s="47"/>
      <c r="AA44" s="69">
        <v>44</v>
      </c>
      <c r="AB44" s="69"/>
      <c r="AC44" s="70"/>
      <c r="AD44" s="76" t="s">
        <v>6172</v>
      </c>
      <c r="AE44" s="81" t="s">
        <v>5881</v>
      </c>
      <c r="AF44" s="76">
        <v>298</v>
      </c>
      <c r="AG44" s="76">
        <v>73</v>
      </c>
      <c r="AH44" s="76">
        <v>1286</v>
      </c>
      <c r="AI44" s="76">
        <v>1</v>
      </c>
      <c r="AJ44" s="76">
        <v>2439</v>
      </c>
      <c r="AK44" s="76">
        <v>233</v>
      </c>
      <c r="AL44" s="76" t="b">
        <v>0</v>
      </c>
      <c r="AM44" s="78">
        <v>45001.132094907407</v>
      </c>
      <c r="AN44" s="76"/>
      <c r="AO44" s="76" t="s">
        <v>6709</v>
      </c>
      <c r="AP44" s="76"/>
      <c r="AQ44" s="76"/>
      <c r="AR44" s="76"/>
      <c r="AS44" s="76"/>
      <c r="AT44" s="76"/>
      <c r="AU44" s="76"/>
      <c r="AV44" s="76">
        <v>1.66153323978003E+18</v>
      </c>
      <c r="AW44" s="76"/>
      <c r="AX44" s="76" t="b">
        <v>0</v>
      </c>
      <c r="AY44" s="76"/>
      <c r="AZ44" s="76"/>
      <c r="BA44" s="76" t="b">
        <v>0</v>
      </c>
      <c r="BB44" s="76" t="b">
        <v>1</v>
      </c>
      <c r="BC44" s="76" t="b">
        <v>1</v>
      </c>
      <c r="BD44" s="76" t="b">
        <v>0</v>
      </c>
      <c r="BE44" s="76" t="b">
        <v>1</v>
      </c>
      <c r="BF44" s="76" t="b">
        <v>0</v>
      </c>
      <c r="BG44" s="76" t="b">
        <v>0</v>
      </c>
      <c r="BH44" s="83" t="str">
        <f>HYPERLINK("https://pbs.twimg.com/profile_banners/1636203023646044160/1682434350")</f>
        <v>https://pbs.twimg.com/profile_banners/1636203023646044160/1682434350</v>
      </c>
      <c r="BI44" s="76"/>
      <c r="BJ44" s="76" t="s">
        <v>7245</v>
      </c>
      <c r="BK44" s="76" t="b">
        <v>0</v>
      </c>
      <c r="BL44" s="76"/>
      <c r="BM44" s="76" t="s">
        <v>66</v>
      </c>
      <c r="BN44" s="76" t="s">
        <v>7247</v>
      </c>
      <c r="BO44" s="83" t="str">
        <f>HYPERLINK("https://twitter.com/raiamparts")</f>
        <v>https://twitter.com/raiamparts</v>
      </c>
      <c r="BP44" s="2"/>
    </row>
    <row r="45" spans="1:68" x14ac:dyDescent="0.25">
      <c r="A45" s="62" t="s">
        <v>263</v>
      </c>
      <c r="B45" s="63"/>
      <c r="C45" s="63"/>
      <c r="D45" s="64"/>
      <c r="E45" s="66"/>
      <c r="F45" s="102" t="str">
        <f>HYPERLINK("https://pbs.twimg.com/profile_images/1623739338071715842/sQ8rDcJH_normal.png")</f>
        <v>https://pbs.twimg.com/profile_images/1623739338071715842/sQ8rDcJH_normal.png</v>
      </c>
      <c r="G45" s="63"/>
      <c r="H45" s="67"/>
      <c r="I45" s="68"/>
      <c r="J45" s="68"/>
      <c r="K45" s="67" t="s">
        <v>7289</v>
      </c>
      <c r="L45" s="71"/>
      <c r="M45" s="72"/>
      <c r="N45" s="72"/>
      <c r="O45" s="73"/>
      <c r="P45" s="74"/>
      <c r="Q45" s="74"/>
      <c r="R45" s="86"/>
      <c r="S45" s="86"/>
      <c r="T45" s="86"/>
      <c r="U45" s="86"/>
      <c r="V45" s="48"/>
      <c r="W45" s="48"/>
      <c r="X45" s="48"/>
      <c r="Y45" s="48"/>
      <c r="Z45" s="47"/>
      <c r="AA45" s="69">
        <v>45</v>
      </c>
      <c r="AB45" s="69"/>
      <c r="AC45" s="70"/>
      <c r="AD45" s="76" t="s">
        <v>6173</v>
      </c>
      <c r="AE45" s="81" t="s">
        <v>5882</v>
      </c>
      <c r="AF45" s="76">
        <v>0</v>
      </c>
      <c r="AG45" s="76">
        <v>27</v>
      </c>
      <c r="AH45" s="76">
        <v>1</v>
      </c>
      <c r="AI45" s="76">
        <v>0</v>
      </c>
      <c r="AJ45" s="76">
        <v>1</v>
      </c>
      <c r="AK45" s="76">
        <v>1</v>
      </c>
      <c r="AL45" s="76" t="b">
        <v>0</v>
      </c>
      <c r="AM45" s="78">
        <v>44966.738425925927</v>
      </c>
      <c r="AN45" s="76"/>
      <c r="AO45" s="76" t="s">
        <v>6710</v>
      </c>
      <c r="AP45" s="83" t="str">
        <f>HYPERLINK("https://t.co/VbgLpzNADG")</f>
        <v>https://t.co/VbgLpzNADG</v>
      </c>
      <c r="AQ45" s="83" t="str">
        <f>HYPERLINK("https://arbv-assessoria-juridica-2.webnode.page/")</f>
        <v>https://arbv-assessoria-juridica-2.webnode.page/</v>
      </c>
      <c r="AR45" s="76" t="s">
        <v>7025</v>
      </c>
      <c r="AS45" s="76"/>
      <c r="AT45" s="76"/>
      <c r="AU45" s="76"/>
      <c r="AV45" s="76"/>
      <c r="AW45" s="83" t="str">
        <f>HYPERLINK("https://t.co/VbgLpzNADG")</f>
        <v>https://t.co/VbgLpzNADG</v>
      </c>
      <c r="AX45" s="76" t="b">
        <v>0</v>
      </c>
      <c r="AY45" s="76"/>
      <c r="AZ45" s="76"/>
      <c r="BA45" s="76" t="b">
        <v>0</v>
      </c>
      <c r="BB45" s="76" t="b">
        <v>1</v>
      </c>
      <c r="BC45" s="76" t="b">
        <v>1</v>
      </c>
      <c r="BD45" s="76" t="b">
        <v>0</v>
      </c>
      <c r="BE45" s="76" t="b">
        <v>0</v>
      </c>
      <c r="BF45" s="76" t="b">
        <v>0</v>
      </c>
      <c r="BG45" s="76" t="b">
        <v>0</v>
      </c>
      <c r="BH45" s="83" t="str">
        <f>HYPERLINK("https://pbs.twimg.com/profile_banners/1623737697436151808/1675965310")</f>
        <v>https://pbs.twimg.com/profile_banners/1623737697436151808/1675965310</v>
      </c>
      <c r="BI45" s="76"/>
      <c r="BJ45" s="76" t="s">
        <v>7245</v>
      </c>
      <c r="BK45" s="76" t="b">
        <v>0</v>
      </c>
      <c r="BL45" s="76"/>
      <c r="BM45" s="76" t="s">
        <v>66</v>
      </c>
      <c r="BN45" s="76" t="s">
        <v>7247</v>
      </c>
      <c r="BO45" s="83" t="str">
        <f>HYPERLINK("https://twitter.com/arbv_assessoria")</f>
        <v>https://twitter.com/arbv_assessoria</v>
      </c>
      <c r="BP45" s="2"/>
    </row>
    <row r="46" spans="1:68" x14ac:dyDescent="0.25">
      <c r="A46" s="62" t="s">
        <v>264</v>
      </c>
      <c r="B46" s="63"/>
      <c r="C46" s="63"/>
      <c r="D46" s="64"/>
      <c r="E46" s="66"/>
      <c r="F46" s="102" t="str">
        <f>HYPERLINK("https://pbs.twimg.com/profile_images/1628383764215627777/bz2yMK_E_normal.jpg")</f>
        <v>https://pbs.twimg.com/profile_images/1628383764215627777/bz2yMK_E_normal.jpg</v>
      </c>
      <c r="G46" s="63"/>
      <c r="H46" s="67"/>
      <c r="I46" s="68"/>
      <c r="J46" s="68"/>
      <c r="K46" s="67" t="s">
        <v>7290</v>
      </c>
      <c r="L46" s="71"/>
      <c r="M46" s="72"/>
      <c r="N46" s="72"/>
      <c r="O46" s="73"/>
      <c r="P46" s="74"/>
      <c r="Q46" s="74"/>
      <c r="R46" s="86"/>
      <c r="S46" s="86"/>
      <c r="T46" s="86"/>
      <c r="U46" s="86"/>
      <c r="V46" s="48"/>
      <c r="W46" s="48"/>
      <c r="X46" s="48"/>
      <c r="Y46" s="48"/>
      <c r="Z46" s="47"/>
      <c r="AA46" s="69">
        <v>46</v>
      </c>
      <c r="AB46" s="69"/>
      <c r="AC46" s="70"/>
      <c r="AD46" s="76" t="s">
        <v>6174</v>
      </c>
      <c r="AE46" s="81" t="s">
        <v>5883</v>
      </c>
      <c r="AF46" s="76">
        <v>8</v>
      </c>
      <c r="AG46" s="76">
        <v>165</v>
      </c>
      <c r="AH46" s="76">
        <v>68</v>
      </c>
      <c r="AI46" s="76">
        <v>0</v>
      </c>
      <c r="AJ46" s="76">
        <v>29</v>
      </c>
      <c r="AK46" s="76">
        <v>19</v>
      </c>
      <c r="AL46" s="76" t="b">
        <v>0</v>
      </c>
      <c r="AM46" s="78">
        <v>44979.553796296299</v>
      </c>
      <c r="AN46" s="76"/>
      <c r="AO46" s="76" t="s">
        <v>6711</v>
      </c>
      <c r="AP46" s="76"/>
      <c r="AQ46" s="76"/>
      <c r="AR46" s="76"/>
      <c r="AS46" s="83" t="str">
        <f>HYPERLINK("https://t.co/mxR6y1sEfm")</f>
        <v>https://t.co/mxR6y1sEfm</v>
      </c>
      <c r="AT46" s="83" t="str">
        <f>HYPERLINK("https://mycollection.shop/dhonshop")</f>
        <v>https://mycollection.shop/dhonshop</v>
      </c>
      <c r="AU46" s="76" t="s">
        <v>7219</v>
      </c>
      <c r="AV46" s="76"/>
      <c r="AW46" s="76"/>
      <c r="AX46" s="76" t="b">
        <v>0</v>
      </c>
      <c r="AY46" s="76"/>
      <c r="AZ46" s="76"/>
      <c r="BA46" s="76" t="b">
        <v>0</v>
      </c>
      <c r="BB46" s="76" t="b">
        <v>0</v>
      </c>
      <c r="BC46" s="76" t="b">
        <v>1</v>
      </c>
      <c r="BD46" s="76" t="b">
        <v>0</v>
      </c>
      <c r="BE46" s="76" t="b">
        <v>0</v>
      </c>
      <c r="BF46" s="76" t="b">
        <v>0</v>
      </c>
      <c r="BG46" s="76" t="b">
        <v>0</v>
      </c>
      <c r="BH46" s="83" t="str">
        <f>HYPERLINK("https://pbs.twimg.com/profile_banners/1628383424435068929/1693067408")</f>
        <v>https://pbs.twimg.com/profile_banners/1628383424435068929/1693067408</v>
      </c>
      <c r="BI46" s="76"/>
      <c r="BJ46" s="76" t="s">
        <v>7245</v>
      </c>
      <c r="BK46" s="76" t="b">
        <v>0</v>
      </c>
      <c r="BL46" s="76"/>
      <c r="BM46" s="76" t="s">
        <v>66</v>
      </c>
      <c r="BN46" s="76" t="s">
        <v>7247</v>
      </c>
      <c r="BO46" s="83" t="str">
        <f>HYPERLINK("https://twitter.com/dhon_511")</f>
        <v>https://twitter.com/dhon_511</v>
      </c>
      <c r="BP46" s="2"/>
    </row>
    <row r="47" spans="1:68" x14ac:dyDescent="0.25">
      <c r="A47" s="62" t="s">
        <v>265</v>
      </c>
      <c r="B47" s="63"/>
      <c r="C47" s="63"/>
      <c r="D47" s="64"/>
      <c r="E47" s="66"/>
      <c r="F47" s="102" t="str">
        <f>HYPERLINK("https://pbs.twimg.com/profile_images/1668823246257418240/saGLVeeA_normal.jpg")</f>
        <v>https://pbs.twimg.com/profile_images/1668823246257418240/saGLVeeA_normal.jpg</v>
      </c>
      <c r="G47" s="63"/>
      <c r="H47" s="67"/>
      <c r="I47" s="68"/>
      <c r="J47" s="68"/>
      <c r="K47" s="67" t="s">
        <v>7291</v>
      </c>
      <c r="L47" s="71"/>
      <c r="M47" s="72"/>
      <c r="N47" s="72"/>
      <c r="O47" s="73"/>
      <c r="P47" s="74"/>
      <c r="Q47" s="74"/>
      <c r="R47" s="86"/>
      <c r="S47" s="86"/>
      <c r="T47" s="86"/>
      <c r="U47" s="86"/>
      <c r="V47" s="48"/>
      <c r="W47" s="48"/>
      <c r="X47" s="48"/>
      <c r="Y47" s="48"/>
      <c r="Z47" s="47"/>
      <c r="AA47" s="69">
        <v>47</v>
      </c>
      <c r="AB47" s="69"/>
      <c r="AC47" s="70"/>
      <c r="AD47" s="76" t="s">
        <v>6175</v>
      </c>
      <c r="AE47" s="81" t="s">
        <v>6489</v>
      </c>
      <c r="AF47" s="76">
        <v>1209</v>
      </c>
      <c r="AG47" s="76">
        <v>7</v>
      </c>
      <c r="AH47" s="76">
        <v>4966</v>
      </c>
      <c r="AI47" s="76">
        <v>17</v>
      </c>
      <c r="AJ47" s="76">
        <v>92</v>
      </c>
      <c r="AK47" s="76">
        <v>222</v>
      </c>
      <c r="AL47" s="76" t="b">
        <v>0</v>
      </c>
      <c r="AM47" s="78">
        <v>40079.71329861111</v>
      </c>
      <c r="AN47" s="76"/>
      <c r="AO47" s="76" t="s">
        <v>6712</v>
      </c>
      <c r="AP47" s="83" t="str">
        <f>HYPERLINK("https://t.co/KrFbjsuhoY")</f>
        <v>https://t.co/KrFbjsuhoY</v>
      </c>
      <c r="AQ47" s="83" t="str">
        <f>HYPERLINK("https://hotm.art/ttsidneysantospa")</f>
        <v>https://hotm.art/ttsidneysantospa</v>
      </c>
      <c r="AR47" s="76" t="s">
        <v>7026</v>
      </c>
      <c r="AS47" s="76"/>
      <c r="AT47" s="76"/>
      <c r="AU47" s="76"/>
      <c r="AV47" s="76">
        <v>1.67351969412755E+18</v>
      </c>
      <c r="AW47" s="83" t="str">
        <f>HYPERLINK("https://t.co/KrFbjsuhoY")</f>
        <v>https://t.co/KrFbjsuhoY</v>
      </c>
      <c r="AX47" s="76" t="b">
        <v>0</v>
      </c>
      <c r="AY47" s="76"/>
      <c r="AZ47" s="76"/>
      <c r="BA47" s="76" t="b">
        <v>0</v>
      </c>
      <c r="BB47" s="76" t="b">
        <v>1</v>
      </c>
      <c r="BC47" s="76" t="b">
        <v>0</v>
      </c>
      <c r="BD47" s="76" t="b">
        <v>0</v>
      </c>
      <c r="BE47" s="76" t="b">
        <v>0</v>
      </c>
      <c r="BF47" s="76" t="b">
        <v>0</v>
      </c>
      <c r="BG47" s="76" t="b">
        <v>0</v>
      </c>
      <c r="BH47" s="83" t="str">
        <f>HYPERLINK("https://pbs.twimg.com/profile_banners/76695494/1684426189")</f>
        <v>https://pbs.twimg.com/profile_banners/76695494/1684426189</v>
      </c>
      <c r="BI47" s="76"/>
      <c r="BJ47" s="76" t="s">
        <v>7246</v>
      </c>
      <c r="BK47" s="76" t="b">
        <v>0</v>
      </c>
      <c r="BL47" s="76"/>
      <c r="BM47" s="76" t="s">
        <v>66</v>
      </c>
      <c r="BN47" s="76" t="s">
        <v>7247</v>
      </c>
      <c r="BO47" s="83" t="str">
        <f>HYPERLINK("https://twitter.com/pasidneysantos")</f>
        <v>https://twitter.com/pasidneysantos</v>
      </c>
      <c r="BP47" s="2"/>
    </row>
    <row r="48" spans="1:68" x14ac:dyDescent="0.25">
      <c r="A48" s="62" t="s">
        <v>266</v>
      </c>
      <c r="B48" s="63"/>
      <c r="C48" s="63"/>
      <c r="D48" s="64"/>
      <c r="E48" s="66"/>
      <c r="F48" s="102" t="str">
        <f>HYPERLINK("https://pbs.twimg.com/profile_images/1650669994445877250/TDGmWiMY_normal.jpg")</f>
        <v>https://pbs.twimg.com/profile_images/1650669994445877250/TDGmWiMY_normal.jpg</v>
      </c>
      <c r="G48" s="63"/>
      <c r="H48" s="67"/>
      <c r="I48" s="68"/>
      <c r="J48" s="68"/>
      <c r="K48" s="67" t="s">
        <v>7292</v>
      </c>
      <c r="L48" s="71"/>
      <c r="M48" s="72"/>
      <c r="N48" s="72"/>
      <c r="O48" s="73"/>
      <c r="P48" s="74"/>
      <c r="Q48" s="74"/>
      <c r="R48" s="86"/>
      <c r="S48" s="86"/>
      <c r="T48" s="86"/>
      <c r="U48" s="86"/>
      <c r="V48" s="48"/>
      <c r="W48" s="48"/>
      <c r="X48" s="48"/>
      <c r="Y48" s="48"/>
      <c r="Z48" s="47"/>
      <c r="AA48" s="69">
        <v>48</v>
      </c>
      <c r="AB48" s="69"/>
      <c r="AC48" s="70"/>
      <c r="AD48" s="76" t="s">
        <v>6176</v>
      </c>
      <c r="AE48" s="81" t="s">
        <v>6490</v>
      </c>
      <c r="AF48" s="76">
        <v>40</v>
      </c>
      <c r="AG48" s="76">
        <v>270</v>
      </c>
      <c r="AH48" s="76">
        <v>388</v>
      </c>
      <c r="AI48" s="76">
        <v>0</v>
      </c>
      <c r="AJ48" s="76">
        <v>31</v>
      </c>
      <c r="AK48" s="76">
        <v>197</v>
      </c>
      <c r="AL48" s="76" t="b">
        <v>0</v>
      </c>
      <c r="AM48" s="78">
        <v>40742.591620370367</v>
      </c>
      <c r="AN48" s="76" t="s">
        <v>3760</v>
      </c>
      <c r="AO48" s="76" t="s">
        <v>6713</v>
      </c>
      <c r="AP48" s="83" t="str">
        <f>HYPERLINK("https://t.co/7xbFfGtBAK")</f>
        <v>https://t.co/7xbFfGtBAK</v>
      </c>
      <c r="AQ48" s="83" t="str">
        <f>HYPERLINK("https://youtube.com/channel/UCQszqvpEFbygi7DfnRv1rVw")</f>
        <v>https://youtube.com/channel/UCQszqvpEFbygi7DfnRv1rVw</v>
      </c>
      <c r="AR48" s="76" t="s">
        <v>7027</v>
      </c>
      <c r="AS48" s="76"/>
      <c r="AT48" s="76"/>
      <c r="AU48" s="76"/>
      <c r="AV48" s="76"/>
      <c r="AW48" s="83" t="str">
        <f>HYPERLINK("https://t.co/7xbFfGtBAK")</f>
        <v>https://t.co/7xbFfGtBAK</v>
      </c>
      <c r="AX48" s="76" t="b">
        <v>0</v>
      </c>
      <c r="AY48" s="76"/>
      <c r="AZ48" s="76"/>
      <c r="BA48" s="76" t="b">
        <v>0</v>
      </c>
      <c r="BB48" s="76" t="b">
        <v>1</v>
      </c>
      <c r="BC48" s="76" t="b">
        <v>0</v>
      </c>
      <c r="BD48" s="76" t="b">
        <v>0</v>
      </c>
      <c r="BE48" s="76" t="b">
        <v>0</v>
      </c>
      <c r="BF48" s="76" t="b">
        <v>0</v>
      </c>
      <c r="BG48" s="76" t="b">
        <v>0</v>
      </c>
      <c r="BH48" s="83" t="str">
        <f>HYPERLINK("https://pbs.twimg.com/profile_banners/337735931/1637789934")</f>
        <v>https://pbs.twimg.com/profile_banners/337735931/1637789934</v>
      </c>
      <c r="BI48" s="76"/>
      <c r="BJ48" s="76" t="s">
        <v>7245</v>
      </c>
      <c r="BK48" s="76" t="b">
        <v>0</v>
      </c>
      <c r="BL48" s="76"/>
      <c r="BM48" s="76" t="s">
        <v>66</v>
      </c>
      <c r="BN48" s="76" t="s">
        <v>7247</v>
      </c>
      <c r="BO48" s="83" t="str">
        <f>HYPERLINK("https://twitter.com/_paulomedeiros")</f>
        <v>https://twitter.com/_paulomedeiros</v>
      </c>
      <c r="BP48" s="2"/>
    </row>
    <row r="49" spans="1:68" x14ac:dyDescent="0.25">
      <c r="A49" s="62" t="s">
        <v>267</v>
      </c>
      <c r="B49" s="63"/>
      <c r="C49" s="63"/>
      <c r="D49" s="64"/>
      <c r="E49" s="66"/>
      <c r="F49" s="102" t="str">
        <f>HYPERLINK("https://pbs.twimg.com/profile_images/1692314974813663232/eAbdmPDR_normal.jpg")</f>
        <v>https://pbs.twimg.com/profile_images/1692314974813663232/eAbdmPDR_normal.jpg</v>
      </c>
      <c r="G49" s="63"/>
      <c r="H49" s="67"/>
      <c r="I49" s="68"/>
      <c r="J49" s="68"/>
      <c r="K49" s="67" t="s">
        <v>7293</v>
      </c>
      <c r="L49" s="71"/>
      <c r="M49" s="72"/>
      <c r="N49" s="72"/>
      <c r="O49" s="73"/>
      <c r="P49" s="74"/>
      <c r="Q49" s="74"/>
      <c r="R49" s="86"/>
      <c r="S49" s="86"/>
      <c r="T49" s="86"/>
      <c r="U49" s="86"/>
      <c r="V49" s="48"/>
      <c r="W49" s="48"/>
      <c r="X49" s="48"/>
      <c r="Y49" s="48"/>
      <c r="Z49" s="47"/>
      <c r="AA49" s="69">
        <v>49</v>
      </c>
      <c r="AB49" s="69"/>
      <c r="AC49" s="70"/>
      <c r="AD49" s="76" t="s">
        <v>6177</v>
      </c>
      <c r="AE49" s="81" t="s">
        <v>5884</v>
      </c>
      <c r="AF49" s="76">
        <v>129</v>
      </c>
      <c r="AG49" s="76">
        <v>8</v>
      </c>
      <c r="AH49" s="76">
        <v>244</v>
      </c>
      <c r="AI49" s="76">
        <v>1</v>
      </c>
      <c r="AJ49" s="76">
        <v>3</v>
      </c>
      <c r="AK49" s="76">
        <v>60</v>
      </c>
      <c r="AL49" s="76" t="b">
        <v>0</v>
      </c>
      <c r="AM49" s="78">
        <v>44472.857557870368</v>
      </c>
      <c r="AN49" s="76" t="s">
        <v>3752</v>
      </c>
      <c r="AO49" s="76" t="s">
        <v>6714</v>
      </c>
      <c r="AP49" s="83" t="str">
        <f>HYPERLINK("https://t.co/O12VnOV4Of")</f>
        <v>https://t.co/O12VnOV4Of</v>
      </c>
      <c r="AQ49" s="83" t="str">
        <f>HYPERLINK("http://www.erikgestor.com")</f>
        <v>http://www.erikgestor.com</v>
      </c>
      <c r="AR49" s="76" t="s">
        <v>7028</v>
      </c>
      <c r="AS49" s="76"/>
      <c r="AT49" s="76"/>
      <c r="AU49" s="76"/>
      <c r="AV49" s="76">
        <v>1.65992168452509E+18</v>
      </c>
      <c r="AW49" s="83" t="str">
        <f>HYPERLINK("https://t.co/O12VnOV4Of")</f>
        <v>https://t.co/O12VnOV4Of</v>
      </c>
      <c r="AX49" s="76" t="b">
        <v>0</v>
      </c>
      <c r="AY49" s="76"/>
      <c r="AZ49" s="76"/>
      <c r="BA49" s="76" t="b">
        <v>0</v>
      </c>
      <c r="BB49" s="76" t="b">
        <v>1</v>
      </c>
      <c r="BC49" s="76" t="b">
        <v>1</v>
      </c>
      <c r="BD49" s="76" t="b">
        <v>0</v>
      </c>
      <c r="BE49" s="76" t="b">
        <v>0</v>
      </c>
      <c r="BF49" s="76" t="b">
        <v>0</v>
      </c>
      <c r="BG49" s="76" t="b">
        <v>0</v>
      </c>
      <c r="BH49" s="83" t="str">
        <f>HYPERLINK("https://pbs.twimg.com/profile_banners/1444762833242230786/1684109697")</f>
        <v>https://pbs.twimg.com/profile_banners/1444762833242230786/1684109697</v>
      </c>
      <c r="BI49" s="76"/>
      <c r="BJ49" s="76" t="s">
        <v>7245</v>
      </c>
      <c r="BK49" s="76" t="b">
        <v>0</v>
      </c>
      <c r="BL49" s="76"/>
      <c r="BM49" s="76" t="s">
        <v>66</v>
      </c>
      <c r="BN49" s="76" t="s">
        <v>7247</v>
      </c>
      <c r="BO49" s="83" t="str">
        <f>HYPERLINK("https://twitter.com/_erik_sb")</f>
        <v>https://twitter.com/_erik_sb</v>
      </c>
      <c r="BP49" s="2"/>
    </row>
    <row r="50" spans="1:68" x14ac:dyDescent="0.25">
      <c r="A50" s="62" t="s">
        <v>268</v>
      </c>
      <c r="B50" s="63"/>
      <c r="C50" s="63"/>
      <c r="D50" s="64"/>
      <c r="E50" s="66"/>
      <c r="F50" s="102" t="str">
        <f>HYPERLINK("https://pbs.twimg.com/profile_images/1623033353866776598/QoMk0Jtk_normal.jpg")</f>
        <v>https://pbs.twimg.com/profile_images/1623033353866776598/QoMk0Jtk_normal.jpg</v>
      </c>
      <c r="G50" s="63"/>
      <c r="H50" s="67"/>
      <c r="I50" s="68"/>
      <c r="J50" s="68"/>
      <c r="K50" s="67" t="s">
        <v>7294</v>
      </c>
      <c r="L50" s="71"/>
      <c r="M50" s="72"/>
      <c r="N50" s="72"/>
      <c r="O50" s="73"/>
      <c r="P50" s="74"/>
      <c r="Q50" s="74"/>
      <c r="R50" s="86"/>
      <c r="S50" s="86"/>
      <c r="T50" s="86"/>
      <c r="U50" s="86"/>
      <c r="V50" s="48"/>
      <c r="W50" s="48"/>
      <c r="X50" s="48"/>
      <c r="Y50" s="48"/>
      <c r="Z50" s="47"/>
      <c r="AA50" s="69">
        <v>50</v>
      </c>
      <c r="AB50" s="69"/>
      <c r="AC50" s="70"/>
      <c r="AD50" s="76" t="s">
        <v>6178</v>
      </c>
      <c r="AE50" s="81" t="s">
        <v>5885</v>
      </c>
      <c r="AF50" s="76">
        <v>18</v>
      </c>
      <c r="AG50" s="76">
        <v>24</v>
      </c>
      <c r="AH50" s="76">
        <v>84</v>
      </c>
      <c r="AI50" s="76">
        <v>1</v>
      </c>
      <c r="AJ50" s="76">
        <v>0</v>
      </c>
      <c r="AK50" s="76">
        <v>72</v>
      </c>
      <c r="AL50" s="76" t="b">
        <v>0</v>
      </c>
      <c r="AM50" s="78">
        <v>44863.950972222221</v>
      </c>
      <c r="AN50" s="76"/>
      <c r="AO50" s="76" t="s">
        <v>6715</v>
      </c>
      <c r="AP50" s="76"/>
      <c r="AQ50" s="76"/>
      <c r="AR50" s="76"/>
      <c r="AS50" s="76"/>
      <c r="AT50" s="76"/>
      <c r="AU50" s="76"/>
      <c r="AV50" s="76"/>
      <c r="AW50" s="76"/>
      <c r="AX50" s="76" t="b">
        <v>0</v>
      </c>
      <c r="AY50" s="76"/>
      <c r="AZ50" s="76"/>
      <c r="BA50" s="76" t="b">
        <v>0</v>
      </c>
      <c r="BB50" s="76" t="b">
        <v>1</v>
      </c>
      <c r="BC50" s="76" t="b">
        <v>1</v>
      </c>
      <c r="BD50" s="76" t="b">
        <v>0</v>
      </c>
      <c r="BE50" s="76" t="b">
        <v>0</v>
      </c>
      <c r="BF50" s="76" t="b">
        <v>0</v>
      </c>
      <c r="BG50" s="76" t="b">
        <v>0</v>
      </c>
      <c r="BH50" s="83" t="str">
        <f>HYPERLINK("https://pbs.twimg.com/profile_banners/1586490366576005120/1667490152")</f>
        <v>https://pbs.twimg.com/profile_banners/1586490366576005120/1667490152</v>
      </c>
      <c r="BI50" s="76"/>
      <c r="BJ50" s="76" t="s">
        <v>7245</v>
      </c>
      <c r="BK50" s="76" t="b">
        <v>0</v>
      </c>
      <c r="BL50" s="76"/>
      <c r="BM50" s="76" t="s">
        <v>66</v>
      </c>
      <c r="BN50" s="76" t="s">
        <v>7247</v>
      </c>
      <c r="BO50" s="83" t="str">
        <f>HYPERLINK("https://twitter.com/seutempoemrenda")</f>
        <v>https://twitter.com/seutempoemrenda</v>
      </c>
      <c r="BP50" s="2"/>
    </row>
    <row r="51" spans="1:68" x14ac:dyDescent="0.25">
      <c r="A51" s="62" t="s">
        <v>269</v>
      </c>
      <c r="B51" s="63"/>
      <c r="C51" s="63"/>
      <c r="D51" s="64"/>
      <c r="E51" s="66"/>
      <c r="F51" s="102" t="str">
        <f>HYPERLINK("https://pbs.twimg.com/profile_images/1493794064512208896/zcRnir6__normal.jpg")</f>
        <v>https://pbs.twimg.com/profile_images/1493794064512208896/zcRnir6__normal.jpg</v>
      </c>
      <c r="G51" s="63"/>
      <c r="H51" s="67"/>
      <c r="I51" s="68"/>
      <c r="J51" s="68"/>
      <c r="K51" s="67" t="s">
        <v>7295</v>
      </c>
      <c r="L51" s="71"/>
      <c r="M51" s="72"/>
      <c r="N51" s="72"/>
      <c r="O51" s="73"/>
      <c r="P51" s="74"/>
      <c r="Q51" s="74"/>
      <c r="R51" s="86"/>
      <c r="S51" s="86"/>
      <c r="T51" s="86"/>
      <c r="U51" s="86"/>
      <c r="V51" s="48"/>
      <c r="W51" s="48"/>
      <c r="X51" s="48"/>
      <c r="Y51" s="48"/>
      <c r="Z51" s="47"/>
      <c r="AA51" s="69">
        <v>51</v>
      </c>
      <c r="AB51" s="69"/>
      <c r="AC51" s="70"/>
      <c r="AD51" s="76" t="s">
        <v>6179</v>
      </c>
      <c r="AE51" s="81" t="s">
        <v>5886</v>
      </c>
      <c r="AF51" s="76">
        <v>0</v>
      </c>
      <c r="AG51" s="76">
        <v>13</v>
      </c>
      <c r="AH51" s="76">
        <v>7</v>
      </c>
      <c r="AI51" s="76">
        <v>0</v>
      </c>
      <c r="AJ51" s="76">
        <v>1</v>
      </c>
      <c r="AK51" s="76">
        <v>0</v>
      </c>
      <c r="AL51" s="76" t="b">
        <v>0</v>
      </c>
      <c r="AM51" s="78">
        <v>44608.157361111109</v>
      </c>
      <c r="AN51" s="76"/>
      <c r="AO51" s="76"/>
      <c r="AP51" s="76"/>
      <c r="AQ51" s="76"/>
      <c r="AR51" s="76"/>
      <c r="AS51" s="76"/>
      <c r="AT51" s="76"/>
      <c r="AU51" s="76"/>
      <c r="AV51" s="76"/>
      <c r="AW51" s="76"/>
      <c r="AX51" s="76" t="b">
        <v>0</v>
      </c>
      <c r="AY51" s="76"/>
      <c r="AZ51" s="76"/>
      <c r="BA51" s="76" t="b">
        <v>0</v>
      </c>
      <c r="BB51" s="76" t="b">
        <v>1</v>
      </c>
      <c r="BC51" s="76" t="b">
        <v>1</v>
      </c>
      <c r="BD51" s="76" t="b">
        <v>0</v>
      </c>
      <c r="BE51" s="76" t="b">
        <v>0</v>
      </c>
      <c r="BF51" s="76" t="b">
        <v>0</v>
      </c>
      <c r="BG51" s="76" t="b">
        <v>0</v>
      </c>
      <c r="BH51" s="76"/>
      <c r="BI51" s="76"/>
      <c r="BJ51" s="76" t="s">
        <v>7245</v>
      </c>
      <c r="BK51" s="76" t="b">
        <v>0</v>
      </c>
      <c r="BL51" s="76"/>
      <c r="BM51" s="76" t="s">
        <v>66</v>
      </c>
      <c r="BN51" s="76" t="s">
        <v>7247</v>
      </c>
      <c r="BO51" s="83" t="str">
        <f>HYPERLINK("https://twitter.com/e_comprar")</f>
        <v>https://twitter.com/e_comprar</v>
      </c>
      <c r="BP51" s="2"/>
    </row>
    <row r="52" spans="1:68" x14ac:dyDescent="0.25">
      <c r="A52" s="62" t="s">
        <v>270</v>
      </c>
      <c r="B52" s="63"/>
      <c r="C52" s="63"/>
      <c r="D52" s="64"/>
      <c r="E52" s="66"/>
      <c r="F52" s="102" t="str">
        <f>HYPERLINK("https://pbs.twimg.com/profile_images/1653870955889041409/4b9dB7eB_normal.jpg")</f>
        <v>https://pbs.twimg.com/profile_images/1653870955889041409/4b9dB7eB_normal.jpg</v>
      </c>
      <c r="G52" s="63"/>
      <c r="H52" s="67"/>
      <c r="I52" s="68"/>
      <c r="J52" s="68"/>
      <c r="K52" s="67" t="s">
        <v>7296</v>
      </c>
      <c r="L52" s="71"/>
      <c r="M52" s="72"/>
      <c r="N52" s="72"/>
      <c r="O52" s="73"/>
      <c r="P52" s="74"/>
      <c r="Q52" s="74"/>
      <c r="R52" s="86"/>
      <c r="S52" s="86"/>
      <c r="T52" s="86"/>
      <c r="U52" s="86"/>
      <c r="V52" s="48"/>
      <c r="W52" s="48"/>
      <c r="X52" s="48"/>
      <c r="Y52" s="48"/>
      <c r="Z52" s="47"/>
      <c r="AA52" s="69">
        <v>52</v>
      </c>
      <c r="AB52" s="69"/>
      <c r="AC52" s="70"/>
      <c r="AD52" s="76" t="s">
        <v>6180</v>
      </c>
      <c r="AE52" s="81" t="s">
        <v>5887</v>
      </c>
      <c r="AF52" s="76">
        <v>53334</v>
      </c>
      <c r="AG52" s="76">
        <v>42574</v>
      </c>
      <c r="AH52" s="76">
        <v>490402</v>
      </c>
      <c r="AI52" s="76">
        <v>52</v>
      </c>
      <c r="AJ52" s="76">
        <v>224910</v>
      </c>
      <c r="AK52" s="76">
        <v>53072</v>
      </c>
      <c r="AL52" s="76" t="b">
        <v>0</v>
      </c>
      <c r="AM52" s="78">
        <v>43936.561921296299</v>
      </c>
      <c r="AN52" s="76" t="s">
        <v>6576</v>
      </c>
      <c r="AO52" s="76" t="s">
        <v>6716</v>
      </c>
      <c r="AP52" s="76"/>
      <c r="AQ52" s="76"/>
      <c r="AR52" s="76"/>
      <c r="AS52" s="83" t="str">
        <f>HYPERLINK("https://t.co/y4f0Tv2kS2")</f>
        <v>https://t.co/y4f0Tv2kS2</v>
      </c>
      <c r="AT52" s="83" t="str">
        <f>HYPERLINK("https://t.me/+RWmfPp6QTE3CvslF")</f>
        <v>https://t.me/+RWmfPp6QTE3CvslF</v>
      </c>
      <c r="AU52" s="76" t="s">
        <v>7220</v>
      </c>
      <c r="AV52" s="76">
        <v>1.6240172627336699E+18</v>
      </c>
      <c r="AW52" s="76"/>
      <c r="AX52" s="76" t="b">
        <v>0</v>
      </c>
      <c r="AY52" s="76"/>
      <c r="AZ52" s="76"/>
      <c r="BA52" s="76" t="b">
        <v>0</v>
      </c>
      <c r="BB52" s="76" t="b">
        <v>0</v>
      </c>
      <c r="BC52" s="76" t="b">
        <v>1</v>
      </c>
      <c r="BD52" s="76" t="b">
        <v>0</v>
      </c>
      <c r="BE52" s="76" t="b">
        <v>1</v>
      </c>
      <c r="BF52" s="76" t="b">
        <v>0</v>
      </c>
      <c r="BG52" s="76" t="b">
        <v>0</v>
      </c>
      <c r="BH52" s="83" t="str">
        <f>HYPERLINK("https://pbs.twimg.com/profile_banners/1250415659760017408/1692792337")</f>
        <v>https://pbs.twimg.com/profile_banners/1250415659760017408/1692792337</v>
      </c>
      <c r="BI52" s="76"/>
      <c r="BJ52" s="76" t="s">
        <v>7245</v>
      </c>
      <c r="BK52" s="76" t="b">
        <v>0</v>
      </c>
      <c r="BL52" s="76"/>
      <c r="BM52" s="76" t="s">
        <v>66</v>
      </c>
      <c r="BN52" s="76" t="s">
        <v>7247</v>
      </c>
      <c r="BO52" s="83" t="str">
        <f>HYPERLINK("https://twitter.com/conservadora191")</f>
        <v>https://twitter.com/conservadora191</v>
      </c>
      <c r="BP52" s="2"/>
    </row>
    <row r="53" spans="1:68" x14ac:dyDescent="0.25">
      <c r="A53" s="62" t="s">
        <v>271</v>
      </c>
      <c r="B53" s="63"/>
      <c r="C53" s="63"/>
      <c r="D53" s="64"/>
      <c r="E53" s="66"/>
      <c r="F53" s="102" t="str">
        <f>HYPERLINK("https://pbs.twimg.com/profile_images/1335657066116096003/WWv9SrEq_normal.jpg")</f>
        <v>https://pbs.twimg.com/profile_images/1335657066116096003/WWv9SrEq_normal.jpg</v>
      </c>
      <c r="G53" s="63"/>
      <c r="H53" s="67"/>
      <c r="I53" s="68"/>
      <c r="J53" s="68"/>
      <c r="K53" s="67" t="s">
        <v>7297</v>
      </c>
      <c r="L53" s="71"/>
      <c r="M53" s="72"/>
      <c r="N53" s="72"/>
      <c r="O53" s="73"/>
      <c r="P53" s="74"/>
      <c r="Q53" s="74"/>
      <c r="R53" s="86"/>
      <c r="S53" s="86"/>
      <c r="T53" s="86"/>
      <c r="U53" s="86"/>
      <c r="V53" s="48"/>
      <c r="W53" s="48"/>
      <c r="X53" s="48"/>
      <c r="Y53" s="48"/>
      <c r="Z53" s="47"/>
      <c r="AA53" s="69">
        <v>53</v>
      </c>
      <c r="AB53" s="69"/>
      <c r="AC53" s="70"/>
      <c r="AD53" s="76" t="s">
        <v>6181</v>
      </c>
      <c r="AE53" s="81" t="s">
        <v>5580</v>
      </c>
      <c r="AF53" s="76">
        <v>1</v>
      </c>
      <c r="AG53" s="76">
        <v>0</v>
      </c>
      <c r="AH53" s="76">
        <v>79</v>
      </c>
      <c r="AI53" s="76">
        <v>0</v>
      </c>
      <c r="AJ53" s="76">
        <v>0</v>
      </c>
      <c r="AK53" s="76">
        <v>6</v>
      </c>
      <c r="AL53" s="76" t="b">
        <v>0</v>
      </c>
      <c r="AM53" s="78">
        <v>44171.781365740739</v>
      </c>
      <c r="AN53" s="76"/>
      <c r="AO53" s="76" t="s">
        <v>6717</v>
      </c>
      <c r="AP53" s="83" t="str">
        <f>HYPERLINK("https://t.co/rtUAHAi2NK")</f>
        <v>https://t.co/rtUAHAi2NK</v>
      </c>
      <c r="AQ53" s="83" t="str">
        <f>HYPERLINK("https://borafalardeguito.com/")</f>
        <v>https://borafalardeguito.com/</v>
      </c>
      <c r="AR53" s="76" t="s">
        <v>7029</v>
      </c>
      <c r="AS53" s="76"/>
      <c r="AT53" s="76"/>
      <c r="AU53" s="76"/>
      <c r="AV53" s="76"/>
      <c r="AW53" s="83" t="str">
        <f>HYPERLINK("https://t.co/rtUAHAi2NK")</f>
        <v>https://t.co/rtUAHAi2NK</v>
      </c>
      <c r="AX53" s="76" t="b">
        <v>0</v>
      </c>
      <c r="AY53" s="76"/>
      <c r="AZ53" s="76"/>
      <c r="BA53" s="76" t="b">
        <v>0</v>
      </c>
      <c r="BB53" s="76" t="b">
        <v>1</v>
      </c>
      <c r="BC53" s="76" t="b">
        <v>1</v>
      </c>
      <c r="BD53" s="76" t="b">
        <v>0</v>
      </c>
      <c r="BE53" s="76" t="b">
        <v>0</v>
      </c>
      <c r="BF53" s="76" t="b">
        <v>0</v>
      </c>
      <c r="BG53" s="76" t="b">
        <v>0</v>
      </c>
      <c r="BH53" s="83" t="str">
        <f>HYPERLINK("https://pbs.twimg.com/profile_banners/1335656385128894465/1648447786")</f>
        <v>https://pbs.twimg.com/profile_banners/1335656385128894465/1648447786</v>
      </c>
      <c r="BI53" s="76"/>
      <c r="BJ53" s="76" t="s">
        <v>7245</v>
      </c>
      <c r="BK53" s="76" t="b">
        <v>0</v>
      </c>
      <c r="BL53" s="76"/>
      <c r="BM53" s="76" t="s">
        <v>66</v>
      </c>
      <c r="BN53" s="76" t="s">
        <v>7247</v>
      </c>
      <c r="BO53" s="83" t="str">
        <f>HYPERLINK("https://twitter.com/borafalardguito")</f>
        <v>https://twitter.com/borafalardguito</v>
      </c>
      <c r="BP53" s="2"/>
    </row>
    <row r="54" spans="1:68" x14ac:dyDescent="0.25">
      <c r="A54" s="62" t="s">
        <v>272</v>
      </c>
      <c r="B54" s="63"/>
      <c r="C54" s="63"/>
      <c r="D54" s="64"/>
      <c r="E54" s="66"/>
      <c r="F54" s="102" t="str">
        <f>HYPERLINK("https://pbs.twimg.com/profile_images/1624550026495119363/b5cxJ7QQ_normal.jpg")</f>
        <v>https://pbs.twimg.com/profile_images/1624550026495119363/b5cxJ7QQ_normal.jpg</v>
      </c>
      <c r="G54" s="63"/>
      <c r="H54" s="67"/>
      <c r="I54" s="68"/>
      <c r="J54" s="68"/>
      <c r="K54" s="67" t="s">
        <v>7298</v>
      </c>
      <c r="L54" s="71"/>
      <c r="M54" s="72"/>
      <c r="N54" s="72"/>
      <c r="O54" s="73"/>
      <c r="P54" s="74"/>
      <c r="Q54" s="74"/>
      <c r="R54" s="86"/>
      <c r="S54" s="86"/>
      <c r="T54" s="86"/>
      <c r="U54" s="86"/>
      <c r="V54" s="48"/>
      <c r="W54" s="48"/>
      <c r="X54" s="48"/>
      <c r="Y54" s="48"/>
      <c r="Z54" s="47"/>
      <c r="AA54" s="69">
        <v>54</v>
      </c>
      <c r="AB54" s="69"/>
      <c r="AC54" s="70"/>
      <c r="AD54" s="76" t="s">
        <v>6182</v>
      </c>
      <c r="AE54" s="81" t="s">
        <v>5888</v>
      </c>
      <c r="AF54" s="76">
        <v>412</v>
      </c>
      <c r="AG54" s="76">
        <v>10</v>
      </c>
      <c r="AH54" s="76">
        <v>18</v>
      </c>
      <c r="AI54" s="76">
        <v>2</v>
      </c>
      <c r="AJ54" s="76">
        <v>23</v>
      </c>
      <c r="AK54" s="76">
        <v>16</v>
      </c>
      <c r="AL54" s="76" t="b">
        <v>0</v>
      </c>
      <c r="AM54" s="78">
        <v>44264.693391203706</v>
      </c>
      <c r="AN54" s="76"/>
      <c r="AO54" s="76" t="s">
        <v>6718</v>
      </c>
      <c r="AP54" s="83" t="str">
        <f>HYPERLINK("https://t.co/Crq2qdmrXX")</f>
        <v>https://t.co/Crq2qdmrXX</v>
      </c>
      <c r="AQ54" s="83" t="str">
        <f>HYPERLINK("https://bit.ly/wewe-global")</f>
        <v>https://bit.ly/wewe-global</v>
      </c>
      <c r="AR54" s="76" t="s">
        <v>7030</v>
      </c>
      <c r="AS54" s="76"/>
      <c r="AT54" s="76"/>
      <c r="AU54" s="76"/>
      <c r="AV54" s="76"/>
      <c r="AW54" s="83" t="str">
        <f>HYPERLINK("https://t.co/Crq2qdmrXX")</f>
        <v>https://t.co/Crq2qdmrXX</v>
      </c>
      <c r="AX54" s="76" t="b">
        <v>0</v>
      </c>
      <c r="AY54" s="76"/>
      <c r="AZ54" s="76"/>
      <c r="BA54" s="76" t="b">
        <v>0</v>
      </c>
      <c r="BB54" s="76" t="b">
        <v>1</v>
      </c>
      <c r="BC54" s="76" t="b">
        <v>1</v>
      </c>
      <c r="BD54" s="76" t="b">
        <v>0</v>
      </c>
      <c r="BE54" s="76" t="b">
        <v>0</v>
      </c>
      <c r="BF54" s="76" t="b">
        <v>0</v>
      </c>
      <c r="BG54" s="76" t="b">
        <v>0</v>
      </c>
      <c r="BH54" s="83" t="str">
        <f>HYPERLINK("https://pbs.twimg.com/profile_banners/1369326693039636483/1676156283")</f>
        <v>https://pbs.twimg.com/profile_banners/1369326693039636483/1676156283</v>
      </c>
      <c r="BI54" s="76"/>
      <c r="BJ54" s="76" t="s">
        <v>7245</v>
      </c>
      <c r="BK54" s="76" t="b">
        <v>0</v>
      </c>
      <c r="BL54" s="76"/>
      <c r="BM54" s="76" t="s">
        <v>66</v>
      </c>
      <c r="BN54" s="76" t="s">
        <v>7247</v>
      </c>
      <c r="BO54" s="83" t="str">
        <f>HYPERLINK("https://twitter.com/weweglob")</f>
        <v>https://twitter.com/weweglob</v>
      </c>
      <c r="BP54" s="2"/>
    </row>
    <row r="55" spans="1:68" x14ac:dyDescent="0.25">
      <c r="A55" s="62" t="s">
        <v>273</v>
      </c>
      <c r="B55" s="63"/>
      <c r="C55" s="63"/>
      <c r="D55" s="64"/>
      <c r="E55" s="66"/>
      <c r="F55" s="102" t="str">
        <f>HYPERLINK("https://pbs.twimg.com/profile_images/1691300965834522624/uRI0C0H9_normal.jpg")</f>
        <v>https://pbs.twimg.com/profile_images/1691300965834522624/uRI0C0H9_normal.jpg</v>
      </c>
      <c r="G55" s="63"/>
      <c r="H55" s="67"/>
      <c r="I55" s="68"/>
      <c r="J55" s="68"/>
      <c r="K55" s="67" t="s">
        <v>7299</v>
      </c>
      <c r="L55" s="71"/>
      <c r="M55" s="72"/>
      <c r="N55" s="72"/>
      <c r="O55" s="73"/>
      <c r="P55" s="74"/>
      <c r="Q55" s="74"/>
      <c r="R55" s="86"/>
      <c r="S55" s="86"/>
      <c r="T55" s="86"/>
      <c r="U55" s="86"/>
      <c r="V55" s="48"/>
      <c r="W55" s="48"/>
      <c r="X55" s="48"/>
      <c r="Y55" s="48"/>
      <c r="Z55" s="47"/>
      <c r="AA55" s="69">
        <v>55</v>
      </c>
      <c r="AB55" s="69"/>
      <c r="AC55" s="70"/>
      <c r="AD55" s="76" t="s">
        <v>6183</v>
      </c>
      <c r="AE55" s="81" t="s">
        <v>5889</v>
      </c>
      <c r="AF55" s="76">
        <v>0</v>
      </c>
      <c r="AG55" s="76">
        <v>7</v>
      </c>
      <c r="AH55" s="76">
        <v>10</v>
      </c>
      <c r="AI55" s="76">
        <v>0</v>
      </c>
      <c r="AJ55" s="76">
        <v>0</v>
      </c>
      <c r="AK55" s="76">
        <v>8</v>
      </c>
      <c r="AL55" s="76" t="b">
        <v>0</v>
      </c>
      <c r="AM55" s="78">
        <v>45153.150057870371</v>
      </c>
      <c r="AN55" s="76"/>
      <c r="AO55" s="76" t="s">
        <v>6719</v>
      </c>
      <c r="AP55" s="83" t="str">
        <f>HYPERLINK("https://t.co/v64T6HFBb4")</f>
        <v>https://t.co/v64T6HFBb4</v>
      </c>
      <c r="AQ55" s="83" t="str">
        <f>HYPERLINK("https://glaubervicentina10.wixsite.com/dracmatoken")</f>
        <v>https://glaubervicentina10.wixsite.com/dracmatoken</v>
      </c>
      <c r="AR55" s="76" t="s">
        <v>7031</v>
      </c>
      <c r="AS55" s="76"/>
      <c r="AT55" s="76"/>
      <c r="AU55" s="76"/>
      <c r="AV55" s="76"/>
      <c r="AW55" s="83" t="str">
        <f>HYPERLINK("https://t.co/v64T6HFBb4")</f>
        <v>https://t.co/v64T6HFBb4</v>
      </c>
      <c r="AX55" s="76" t="b">
        <v>0</v>
      </c>
      <c r="AY55" s="76"/>
      <c r="AZ55" s="76"/>
      <c r="BA55" s="76" t="b">
        <v>0</v>
      </c>
      <c r="BB55" s="76" t="b">
        <v>1</v>
      </c>
      <c r="BC55" s="76" t="b">
        <v>1</v>
      </c>
      <c r="BD55" s="76" t="b">
        <v>0</v>
      </c>
      <c r="BE55" s="76" t="b">
        <v>0</v>
      </c>
      <c r="BF55" s="76" t="b">
        <v>0</v>
      </c>
      <c r="BG55" s="76" t="b">
        <v>0</v>
      </c>
      <c r="BH55" s="76"/>
      <c r="BI55" s="76"/>
      <c r="BJ55" s="76" t="s">
        <v>7245</v>
      </c>
      <c r="BK55" s="76" t="b">
        <v>0</v>
      </c>
      <c r="BL55" s="76"/>
      <c r="BM55" s="76" t="s">
        <v>66</v>
      </c>
      <c r="BN55" s="76" t="s">
        <v>7247</v>
      </c>
      <c r="BO55" s="83" t="str">
        <f>HYPERLINK("https://twitter.com/dracma316789")</f>
        <v>https://twitter.com/dracma316789</v>
      </c>
      <c r="BP55" s="2"/>
    </row>
    <row r="56" spans="1:68" x14ac:dyDescent="0.25">
      <c r="A56" s="62" t="s">
        <v>274</v>
      </c>
      <c r="B56" s="63"/>
      <c r="C56" s="63"/>
      <c r="D56" s="64"/>
      <c r="E56" s="66"/>
      <c r="F56" s="102" t="str">
        <f>HYPERLINK("https://pbs.twimg.com/profile_images/1680413141245612036/8M3SnOn-_normal.jpg")</f>
        <v>https://pbs.twimg.com/profile_images/1680413141245612036/8M3SnOn-_normal.jpg</v>
      </c>
      <c r="G56" s="63"/>
      <c r="H56" s="67"/>
      <c r="I56" s="68"/>
      <c r="J56" s="68"/>
      <c r="K56" s="67" t="s">
        <v>7300</v>
      </c>
      <c r="L56" s="71"/>
      <c r="M56" s="72"/>
      <c r="N56" s="72"/>
      <c r="O56" s="73"/>
      <c r="P56" s="74"/>
      <c r="Q56" s="74"/>
      <c r="R56" s="86"/>
      <c r="S56" s="86"/>
      <c r="T56" s="86"/>
      <c r="U56" s="86"/>
      <c r="V56" s="48"/>
      <c r="W56" s="48"/>
      <c r="X56" s="48"/>
      <c r="Y56" s="48"/>
      <c r="Z56" s="47"/>
      <c r="AA56" s="69">
        <v>56</v>
      </c>
      <c r="AB56" s="69"/>
      <c r="AC56" s="70"/>
      <c r="AD56" s="76" t="s">
        <v>6184</v>
      </c>
      <c r="AE56" s="81" t="s">
        <v>6491</v>
      </c>
      <c r="AF56" s="76">
        <v>6632</v>
      </c>
      <c r="AG56" s="76">
        <v>6736</v>
      </c>
      <c r="AH56" s="76">
        <v>15203</v>
      </c>
      <c r="AI56" s="76">
        <v>2</v>
      </c>
      <c r="AJ56" s="76">
        <v>22968</v>
      </c>
      <c r="AK56" s="76">
        <v>3865</v>
      </c>
      <c r="AL56" s="76" t="b">
        <v>0</v>
      </c>
      <c r="AM56" s="78">
        <v>40037.095034722224</v>
      </c>
      <c r="AN56" s="76"/>
      <c r="AO56" s="76" t="s">
        <v>6720</v>
      </c>
      <c r="AP56" s="83" t="str">
        <f>HYPERLINK("https://t.co/XApPq4XSHP")</f>
        <v>https://t.co/XApPq4XSHP</v>
      </c>
      <c r="AQ56" s="83" t="str">
        <f>HYPERLINK("https://bit.ly/criptoblindersbrasil")</f>
        <v>https://bit.ly/criptoblindersbrasil</v>
      </c>
      <c r="AR56" s="76" t="s">
        <v>7032</v>
      </c>
      <c r="AS56" s="76"/>
      <c r="AT56" s="76"/>
      <c r="AU56" s="76"/>
      <c r="AV56" s="76">
        <v>1.7046140462284201E+18</v>
      </c>
      <c r="AW56" s="83" t="str">
        <f>HYPERLINK("https://t.co/XApPq4XSHP")</f>
        <v>https://t.co/XApPq4XSHP</v>
      </c>
      <c r="AX56" s="76" t="b">
        <v>0</v>
      </c>
      <c r="AY56" s="76"/>
      <c r="AZ56" s="76"/>
      <c r="BA56" s="76" t="b">
        <v>0</v>
      </c>
      <c r="BB56" s="76" t="b">
        <v>1</v>
      </c>
      <c r="BC56" s="76" t="b">
        <v>1</v>
      </c>
      <c r="BD56" s="76" t="b">
        <v>0</v>
      </c>
      <c r="BE56" s="76" t="b">
        <v>0</v>
      </c>
      <c r="BF56" s="76" t="b">
        <v>0</v>
      </c>
      <c r="BG56" s="76" t="b">
        <v>0</v>
      </c>
      <c r="BH56" s="83" t="str">
        <f>HYPERLINK("https://pbs.twimg.com/profile_banners/64904940/1677458032")</f>
        <v>https://pbs.twimg.com/profile_banners/64904940/1677458032</v>
      </c>
      <c r="BI56" s="76"/>
      <c r="BJ56" s="76" t="s">
        <v>7245</v>
      </c>
      <c r="BK56" s="76" t="b">
        <v>0</v>
      </c>
      <c r="BL56" s="76"/>
      <c r="BM56" s="76" t="s">
        <v>66</v>
      </c>
      <c r="BN56" s="76" t="s">
        <v>7247</v>
      </c>
      <c r="BO56" s="83" t="str">
        <f>HYPERLINK("https://twitter.com/rodrigosrp4")</f>
        <v>https://twitter.com/rodrigosrp4</v>
      </c>
      <c r="BP56" s="2"/>
    </row>
    <row r="57" spans="1:68" x14ac:dyDescent="0.25">
      <c r="A57" s="62" t="s">
        <v>275</v>
      </c>
      <c r="B57" s="63"/>
      <c r="C57" s="63"/>
      <c r="D57" s="64"/>
      <c r="E57" s="66"/>
      <c r="F57" s="102" t="str">
        <f>HYPERLINK("https://pbs.twimg.com/profile_images/1237018925927403520/e_unhpZt_normal.jpg")</f>
        <v>https://pbs.twimg.com/profile_images/1237018925927403520/e_unhpZt_normal.jpg</v>
      </c>
      <c r="G57" s="63"/>
      <c r="H57" s="67"/>
      <c r="I57" s="68"/>
      <c r="J57" s="68"/>
      <c r="K57" s="67" t="s">
        <v>7301</v>
      </c>
      <c r="L57" s="71"/>
      <c r="M57" s="72"/>
      <c r="N57" s="72"/>
      <c r="O57" s="73"/>
      <c r="P57" s="74"/>
      <c r="Q57" s="74"/>
      <c r="R57" s="86"/>
      <c r="S57" s="86"/>
      <c r="T57" s="86"/>
      <c r="U57" s="86"/>
      <c r="V57" s="48"/>
      <c r="W57" s="48"/>
      <c r="X57" s="48"/>
      <c r="Y57" s="48"/>
      <c r="Z57" s="47"/>
      <c r="AA57" s="69">
        <v>57</v>
      </c>
      <c r="AB57" s="69"/>
      <c r="AC57" s="70"/>
      <c r="AD57" s="76" t="s">
        <v>6185</v>
      </c>
      <c r="AE57" s="81" t="s">
        <v>6492</v>
      </c>
      <c r="AF57" s="76">
        <v>32</v>
      </c>
      <c r="AG57" s="76">
        <v>202</v>
      </c>
      <c r="AH57" s="76">
        <v>621</v>
      </c>
      <c r="AI57" s="76">
        <v>1</v>
      </c>
      <c r="AJ57" s="76">
        <v>1065</v>
      </c>
      <c r="AK57" s="76">
        <v>62</v>
      </c>
      <c r="AL57" s="76" t="b">
        <v>0</v>
      </c>
      <c r="AM57" s="78">
        <v>40397.61210648148</v>
      </c>
      <c r="AN57" s="76" t="s">
        <v>6577</v>
      </c>
      <c r="AO57" s="76" t="s">
        <v>6721</v>
      </c>
      <c r="AP57" s="83" t="str">
        <f>HYPERLINK("https://t.co/lOEkOAhlMo")</f>
        <v>https://t.co/lOEkOAhlMo</v>
      </c>
      <c r="AQ57" s="83" t="str">
        <f>HYPERLINK("https://linktr.ee/PaulaRodrigues_Investimentos")</f>
        <v>https://linktr.ee/PaulaRodrigues_Investimentos</v>
      </c>
      <c r="AR57" s="76" t="s">
        <v>7033</v>
      </c>
      <c r="AS57" s="76"/>
      <c r="AT57" s="76"/>
      <c r="AU57" s="76"/>
      <c r="AV57" s="76">
        <v>1.6008581088672E+18</v>
      </c>
      <c r="AW57" s="83" t="str">
        <f>HYPERLINK("https://t.co/lOEkOAhlMo")</f>
        <v>https://t.co/lOEkOAhlMo</v>
      </c>
      <c r="AX57" s="76" t="b">
        <v>0</v>
      </c>
      <c r="AY57" s="76"/>
      <c r="AZ57" s="76"/>
      <c r="BA57" s="76" t="b">
        <v>1</v>
      </c>
      <c r="BB57" s="76" t="b">
        <v>0</v>
      </c>
      <c r="BC57" s="76" t="b">
        <v>1</v>
      </c>
      <c r="BD57" s="76" t="b">
        <v>0</v>
      </c>
      <c r="BE57" s="76" t="b">
        <v>0</v>
      </c>
      <c r="BF57" s="76" t="b">
        <v>0</v>
      </c>
      <c r="BG57" s="76" t="b">
        <v>0</v>
      </c>
      <c r="BH57" s="83" t="str">
        <f>HYPERLINK("https://pbs.twimg.com/profile_banners/175759125/1570235022")</f>
        <v>https://pbs.twimg.com/profile_banners/175759125/1570235022</v>
      </c>
      <c r="BI57" s="76"/>
      <c r="BJ57" s="76" t="s">
        <v>7245</v>
      </c>
      <c r="BK57" s="76" t="b">
        <v>0</v>
      </c>
      <c r="BL57" s="76"/>
      <c r="BM57" s="76" t="s">
        <v>66</v>
      </c>
      <c r="BN57" s="76" t="s">
        <v>7247</v>
      </c>
      <c r="BO57" s="83" t="str">
        <f>HYPERLINK("https://twitter.com/prodrigues_cea")</f>
        <v>https://twitter.com/prodrigues_cea</v>
      </c>
      <c r="BP57" s="2"/>
    </row>
    <row r="58" spans="1:68" x14ac:dyDescent="0.25">
      <c r="A58" s="62" t="s">
        <v>276</v>
      </c>
      <c r="B58" s="63"/>
      <c r="C58" s="63"/>
      <c r="D58" s="64"/>
      <c r="E58" s="66"/>
      <c r="F58" s="102" t="str">
        <f>HYPERLINK("https://pbs.twimg.com/profile_images/1665669594776780809/oBKSQn5I_normal.jpg")</f>
        <v>https://pbs.twimg.com/profile_images/1665669594776780809/oBKSQn5I_normal.jpg</v>
      </c>
      <c r="G58" s="63"/>
      <c r="H58" s="67"/>
      <c r="I58" s="68"/>
      <c r="J58" s="68"/>
      <c r="K58" s="67" t="s">
        <v>7302</v>
      </c>
      <c r="L58" s="71"/>
      <c r="M58" s="72"/>
      <c r="N58" s="72"/>
      <c r="O58" s="73"/>
      <c r="P58" s="74"/>
      <c r="Q58" s="74"/>
      <c r="R58" s="86"/>
      <c r="S58" s="86"/>
      <c r="T58" s="86"/>
      <c r="U58" s="86"/>
      <c r="V58" s="48"/>
      <c r="W58" s="48"/>
      <c r="X58" s="48"/>
      <c r="Y58" s="48"/>
      <c r="Z58" s="47"/>
      <c r="AA58" s="69">
        <v>58</v>
      </c>
      <c r="AB58" s="69"/>
      <c r="AC58" s="70"/>
      <c r="AD58" s="76" t="s">
        <v>6186</v>
      </c>
      <c r="AE58" s="81" t="s">
        <v>5890</v>
      </c>
      <c r="AF58" s="76">
        <v>10</v>
      </c>
      <c r="AG58" s="76">
        <v>16</v>
      </c>
      <c r="AH58" s="76">
        <v>53</v>
      </c>
      <c r="AI58" s="76">
        <v>0</v>
      </c>
      <c r="AJ58" s="76">
        <v>450</v>
      </c>
      <c r="AK58" s="76">
        <v>1</v>
      </c>
      <c r="AL58" s="76" t="b">
        <v>0</v>
      </c>
      <c r="AM58" s="78">
        <v>44529.591180555559</v>
      </c>
      <c r="AN58" s="76" t="s">
        <v>6578</v>
      </c>
      <c r="AO58" s="76" t="s">
        <v>6722</v>
      </c>
      <c r="AP58" s="83" t="str">
        <f>HYPERLINK("https://t.co/9bLuTyYIZm")</f>
        <v>https://t.co/9bLuTyYIZm</v>
      </c>
      <c r="AQ58" s="83" t="str">
        <f>HYPERLINK("https://www.instagram.com/andrenegociosbr/")</f>
        <v>https://www.instagram.com/andrenegociosbr/</v>
      </c>
      <c r="AR58" s="76" t="s">
        <v>7034</v>
      </c>
      <c r="AS58" s="76"/>
      <c r="AT58" s="76"/>
      <c r="AU58" s="76"/>
      <c r="AV58" s="76"/>
      <c r="AW58" s="83" t="str">
        <f>HYPERLINK("https://t.co/9bLuTyYIZm")</f>
        <v>https://t.co/9bLuTyYIZm</v>
      </c>
      <c r="AX58" s="76" t="b">
        <v>0</v>
      </c>
      <c r="AY58" s="76"/>
      <c r="AZ58" s="76"/>
      <c r="BA58" s="76" t="b">
        <v>0</v>
      </c>
      <c r="BB58" s="76" t="b">
        <v>1</v>
      </c>
      <c r="BC58" s="76" t="b">
        <v>1</v>
      </c>
      <c r="BD58" s="76" t="b">
        <v>0</v>
      </c>
      <c r="BE58" s="76" t="b">
        <v>0</v>
      </c>
      <c r="BF58" s="76" t="b">
        <v>0</v>
      </c>
      <c r="BG58" s="76" t="b">
        <v>0</v>
      </c>
      <c r="BH58" s="83" t="str">
        <f>HYPERLINK("https://pbs.twimg.com/profile_banners/1465322324043964418/1685961678")</f>
        <v>https://pbs.twimg.com/profile_banners/1465322324043964418/1685961678</v>
      </c>
      <c r="BI58" s="76"/>
      <c r="BJ58" s="76" t="s">
        <v>7245</v>
      </c>
      <c r="BK58" s="76" t="b">
        <v>0</v>
      </c>
      <c r="BL58" s="76"/>
      <c r="BM58" s="76" t="s">
        <v>66</v>
      </c>
      <c r="BN58" s="76" t="s">
        <v>7247</v>
      </c>
      <c r="BO58" s="83" t="str">
        <f>HYPERLINK("https://twitter.com/andrenegociosbr")</f>
        <v>https://twitter.com/andrenegociosbr</v>
      </c>
      <c r="BP58" s="2"/>
    </row>
    <row r="59" spans="1:68" x14ac:dyDescent="0.25">
      <c r="A59" s="62" t="s">
        <v>277</v>
      </c>
      <c r="B59" s="63"/>
      <c r="C59" s="63"/>
      <c r="D59" s="64"/>
      <c r="E59" s="66"/>
      <c r="F59" s="102" t="str">
        <f>HYPERLINK("https://pbs.twimg.com/profile_images/1613935197732364289/GaEpArku_normal.jpg")</f>
        <v>https://pbs.twimg.com/profile_images/1613935197732364289/GaEpArku_normal.jpg</v>
      </c>
      <c r="G59" s="63"/>
      <c r="H59" s="67"/>
      <c r="I59" s="68"/>
      <c r="J59" s="68"/>
      <c r="K59" s="67" t="s">
        <v>7303</v>
      </c>
      <c r="L59" s="71"/>
      <c r="M59" s="72"/>
      <c r="N59" s="72"/>
      <c r="O59" s="73"/>
      <c r="P59" s="74"/>
      <c r="Q59" s="74"/>
      <c r="R59" s="86"/>
      <c r="S59" s="86"/>
      <c r="T59" s="86"/>
      <c r="U59" s="86"/>
      <c r="V59" s="48"/>
      <c r="W59" s="48"/>
      <c r="X59" s="48"/>
      <c r="Y59" s="48"/>
      <c r="Z59" s="47"/>
      <c r="AA59" s="69">
        <v>59</v>
      </c>
      <c r="AB59" s="69"/>
      <c r="AC59" s="70"/>
      <c r="AD59" s="76" t="s">
        <v>6187</v>
      </c>
      <c r="AE59" s="81" t="s">
        <v>5891</v>
      </c>
      <c r="AF59" s="76">
        <v>14</v>
      </c>
      <c r="AG59" s="76">
        <v>191</v>
      </c>
      <c r="AH59" s="76">
        <v>53</v>
      </c>
      <c r="AI59" s="76">
        <v>0</v>
      </c>
      <c r="AJ59" s="76">
        <v>22</v>
      </c>
      <c r="AK59" s="76">
        <v>18</v>
      </c>
      <c r="AL59" s="76" t="b">
        <v>0</v>
      </c>
      <c r="AM59" s="78">
        <v>44939.682974537034</v>
      </c>
      <c r="AN59" s="76"/>
      <c r="AO59" s="76" t="s">
        <v>6723</v>
      </c>
      <c r="AP59" s="76"/>
      <c r="AQ59" s="76"/>
      <c r="AR59" s="76"/>
      <c r="AS59" s="83" t="str">
        <f>HYPERLINK("https://t.co/GxWhwLyFPQ")</f>
        <v>https://t.co/GxWhwLyFPQ</v>
      </c>
      <c r="AT59" s="83" t="str">
        <f>HYPERLINK("http://go.hotmart.com/L78388156D")</f>
        <v>http://go.hotmart.com/L78388156D</v>
      </c>
      <c r="AU59" s="76" t="s">
        <v>7221</v>
      </c>
      <c r="AV59" s="76"/>
      <c r="AW59" s="76"/>
      <c r="AX59" s="76" t="b">
        <v>0</v>
      </c>
      <c r="AY59" s="76"/>
      <c r="AZ59" s="76"/>
      <c r="BA59" s="76" t="b">
        <v>0</v>
      </c>
      <c r="BB59" s="76" t="b">
        <v>1</v>
      </c>
      <c r="BC59" s="76" t="b">
        <v>1</v>
      </c>
      <c r="BD59" s="76" t="b">
        <v>0</v>
      </c>
      <c r="BE59" s="76" t="b">
        <v>0</v>
      </c>
      <c r="BF59" s="76" t="b">
        <v>0</v>
      </c>
      <c r="BG59" s="76" t="b">
        <v>0</v>
      </c>
      <c r="BH59" s="83" t="str">
        <f>HYPERLINK("https://pbs.twimg.com/profile_banners/1613934719632117763/1673630007")</f>
        <v>https://pbs.twimg.com/profile_banners/1613934719632117763/1673630007</v>
      </c>
      <c r="BI59" s="76"/>
      <c r="BJ59" s="76" t="s">
        <v>7245</v>
      </c>
      <c r="BK59" s="76" t="b">
        <v>0</v>
      </c>
      <c r="BL59" s="76"/>
      <c r="BM59" s="76" t="s">
        <v>66</v>
      </c>
      <c r="BN59" s="76" t="s">
        <v>7247</v>
      </c>
      <c r="BO59" s="83" t="str">
        <f>HYPERLINK("https://twitter.com/mktdigital2023")</f>
        <v>https://twitter.com/mktdigital2023</v>
      </c>
      <c r="BP59" s="2"/>
    </row>
    <row r="60" spans="1:68" x14ac:dyDescent="0.25">
      <c r="A60" s="62" t="s">
        <v>278</v>
      </c>
      <c r="B60" s="63"/>
      <c r="C60" s="63"/>
      <c r="D60" s="64"/>
      <c r="E60" s="66"/>
      <c r="F60" s="102" t="str">
        <f>HYPERLINK("https://pbs.twimg.com/profile_images/1652105999757500416/HGClhwWP_normal.jpg")</f>
        <v>https://pbs.twimg.com/profile_images/1652105999757500416/HGClhwWP_normal.jpg</v>
      </c>
      <c r="G60" s="63"/>
      <c r="H60" s="67"/>
      <c r="I60" s="68"/>
      <c r="J60" s="68"/>
      <c r="K60" s="67" t="s">
        <v>7304</v>
      </c>
      <c r="L60" s="71"/>
      <c r="M60" s="72"/>
      <c r="N60" s="72"/>
      <c r="O60" s="73"/>
      <c r="P60" s="74"/>
      <c r="Q60" s="74"/>
      <c r="R60" s="86"/>
      <c r="S60" s="86"/>
      <c r="T60" s="86"/>
      <c r="U60" s="86"/>
      <c r="V60" s="48"/>
      <c r="W60" s="48"/>
      <c r="X60" s="48"/>
      <c r="Y60" s="48"/>
      <c r="Z60" s="47"/>
      <c r="AA60" s="69">
        <v>60</v>
      </c>
      <c r="AB60" s="69"/>
      <c r="AC60" s="70"/>
      <c r="AD60" s="76" t="s">
        <v>6188</v>
      </c>
      <c r="AE60" s="81" t="s">
        <v>5892</v>
      </c>
      <c r="AF60" s="76">
        <v>2</v>
      </c>
      <c r="AG60" s="76">
        <v>43</v>
      </c>
      <c r="AH60" s="76">
        <v>3</v>
      </c>
      <c r="AI60" s="76">
        <v>0</v>
      </c>
      <c r="AJ60" s="76">
        <v>0</v>
      </c>
      <c r="AK60" s="76">
        <v>2</v>
      </c>
      <c r="AL60" s="76" t="b">
        <v>0</v>
      </c>
      <c r="AM60" s="78">
        <v>44948.79247685185</v>
      </c>
      <c r="AN60" s="76" t="s">
        <v>6579</v>
      </c>
      <c r="AO60" s="76" t="s">
        <v>6724</v>
      </c>
      <c r="AP60" s="83" t="str">
        <f>HYPERLINK("https://t.co/Mgv2ZaE4jJ")</f>
        <v>https://t.co/Mgv2ZaE4jJ</v>
      </c>
      <c r="AQ60" s="83" t="str">
        <f>HYPERLINK("http://linkin.bio/academiafinancas")</f>
        <v>http://linkin.bio/academiafinancas</v>
      </c>
      <c r="AR60" s="76" t="s">
        <v>7035</v>
      </c>
      <c r="AS60" s="76"/>
      <c r="AT60" s="76"/>
      <c r="AU60" s="76"/>
      <c r="AV60" s="76"/>
      <c r="AW60" s="83" t="str">
        <f>HYPERLINK("https://t.co/Mgv2ZaE4jJ")</f>
        <v>https://t.co/Mgv2ZaE4jJ</v>
      </c>
      <c r="AX60" s="76" t="b">
        <v>0</v>
      </c>
      <c r="AY60" s="76"/>
      <c r="AZ60" s="76"/>
      <c r="BA60" s="76" t="b">
        <v>0</v>
      </c>
      <c r="BB60" s="76" t="b">
        <v>1</v>
      </c>
      <c r="BC60" s="76" t="b">
        <v>1</v>
      </c>
      <c r="BD60" s="76" t="b">
        <v>0</v>
      </c>
      <c r="BE60" s="76" t="b">
        <v>1</v>
      </c>
      <c r="BF60" s="76" t="b">
        <v>0</v>
      </c>
      <c r="BG60" s="76" t="b">
        <v>0</v>
      </c>
      <c r="BH60" s="83" t="str">
        <f>HYPERLINK("https://pbs.twimg.com/profile_banners/1617235873799577605/1674490399")</f>
        <v>https://pbs.twimg.com/profile_banners/1617235873799577605/1674490399</v>
      </c>
      <c r="BI60" s="76"/>
      <c r="BJ60" s="76" t="s">
        <v>7245</v>
      </c>
      <c r="BK60" s="76" t="b">
        <v>0</v>
      </c>
      <c r="BL60" s="76"/>
      <c r="BM60" s="76" t="s">
        <v>66</v>
      </c>
      <c r="BN60" s="76" t="s">
        <v>7247</v>
      </c>
      <c r="BO60" s="83" t="str">
        <f>HYPERLINK("https://twitter.com/acadfinancas")</f>
        <v>https://twitter.com/acadfinancas</v>
      </c>
      <c r="BP60" s="2"/>
    </row>
    <row r="61" spans="1:68" x14ac:dyDescent="0.25">
      <c r="A61" s="62" t="s">
        <v>279</v>
      </c>
      <c r="B61" s="63"/>
      <c r="C61" s="63"/>
      <c r="D61" s="64"/>
      <c r="E61" s="66"/>
      <c r="F61" s="102" t="str">
        <f>HYPERLINK("https://pbs.twimg.com/profile_images/1703414654305796096/WdqnINke_normal.jpg")</f>
        <v>https://pbs.twimg.com/profile_images/1703414654305796096/WdqnINke_normal.jpg</v>
      </c>
      <c r="G61" s="63"/>
      <c r="H61" s="67"/>
      <c r="I61" s="68"/>
      <c r="J61" s="68"/>
      <c r="K61" s="67" t="s">
        <v>7305</v>
      </c>
      <c r="L61" s="71"/>
      <c r="M61" s="72"/>
      <c r="N61" s="72"/>
      <c r="O61" s="73"/>
      <c r="P61" s="74"/>
      <c r="Q61" s="74"/>
      <c r="R61" s="86"/>
      <c r="S61" s="86"/>
      <c r="T61" s="86"/>
      <c r="U61" s="86"/>
      <c r="V61" s="48"/>
      <c r="W61" s="48"/>
      <c r="X61" s="48"/>
      <c r="Y61" s="48"/>
      <c r="Z61" s="47"/>
      <c r="AA61" s="69">
        <v>61</v>
      </c>
      <c r="AB61" s="69"/>
      <c r="AC61" s="70"/>
      <c r="AD61" s="76" t="s">
        <v>6189</v>
      </c>
      <c r="AE61" s="81" t="s">
        <v>5893</v>
      </c>
      <c r="AF61" s="76">
        <v>0</v>
      </c>
      <c r="AG61" s="76">
        <v>1</v>
      </c>
      <c r="AH61" s="76">
        <v>2</v>
      </c>
      <c r="AI61" s="76">
        <v>0</v>
      </c>
      <c r="AJ61" s="76">
        <v>1</v>
      </c>
      <c r="AK61" s="76">
        <v>0</v>
      </c>
      <c r="AL61" s="76" t="b">
        <v>0</v>
      </c>
      <c r="AM61" s="78">
        <v>45186.59878472222</v>
      </c>
      <c r="AN61" s="76"/>
      <c r="AO61" s="76" t="s">
        <v>6725</v>
      </c>
      <c r="AP61" s="76"/>
      <c r="AQ61" s="76"/>
      <c r="AR61" s="76"/>
      <c r="AS61" s="76"/>
      <c r="AT61" s="76"/>
      <c r="AU61" s="76"/>
      <c r="AV61" s="76"/>
      <c r="AW61" s="76"/>
      <c r="AX61" s="76" t="b">
        <v>0</v>
      </c>
      <c r="AY61" s="76"/>
      <c r="AZ61" s="76"/>
      <c r="BA61" s="76" t="b">
        <v>0</v>
      </c>
      <c r="BB61" s="76" t="b">
        <v>1</v>
      </c>
      <c r="BC61" s="76" t="b">
        <v>1</v>
      </c>
      <c r="BD61" s="76" t="b">
        <v>0</v>
      </c>
      <c r="BE61" s="76" t="b">
        <v>0</v>
      </c>
      <c r="BF61" s="76" t="b">
        <v>0</v>
      </c>
      <c r="BG61" s="76" t="b">
        <v>0</v>
      </c>
      <c r="BH61" s="83" t="str">
        <f>HYPERLINK("https://pbs.twimg.com/profile_banners/1703413991261814784/1694960675")</f>
        <v>https://pbs.twimg.com/profile_banners/1703413991261814784/1694960675</v>
      </c>
      <c r="BI61" s="76"/>
      <c r="BJ61" s="76" t="s">
        <v>7245</v>
      </c>
      <c r="BK61" s="76" t="b">
        <v>0</v>
      </c>
      <c r="BL61" s="76"/>
      <c r="BM61" s="76" t="s">
        <v>66</v>
      </c>
      <c r="BN61" s="76" t="s">
        <v>7247</v>
      </c>
      <c r="BO61" s="83" t="str">
        <f>HYPERLINK("https://twitter.com/luan2523306")</f>
        <v>https://twitter.com/luan2523306</v>
      </c>
      <c r="BP61" s="2"/>
    </row>
    <row r="62" spans="1:68" x14ac:dyDescent="0.25">
      <c r="A62" s="62" t="s">
        <v>280</v>
      </c>
      <c r="B62" s="63"/>
      <c r="C62" s="63"/>
      <c r="D62" s="64"/>
      <c r="E62" s="66"/>
      <c r="F62" s="102" t="str">
        <f>HYPERLINK("https://pbs.twimg.com/profile_images/1663937643120304128/I4zcGep3_normal.jpg")</f>
        <v>https://pbs.twimg.com/profile_images/1663937643120304128/I4zcGep3_normal.jpg</v>
      </c>
      <c r="G62" s="63"/>
      <c r="H62" s="67"/>
      <c r="I62" s="68"/>
      <c r="J62" s="68"/>
      <c r="K62" s="67" t="s">
        <v>7306</v>
      </c>
      <c r="L62" s="71"/>
      <c r="M62" s="72"/>
      <c r="N62" s="72"/>
      <c r="O62" s="73"/>
      <c r="P62" s="74"/>
      <c r="Q62" s="74"/>
      <c r="R62" s="86"/>
      <c r="S62" s="86"/>
      <c r="T62" s="86"/>
      <c r="U62" s="86"/>
      <c r="V62" s="48"/>
      <c r="W62" s="48"/>
      <c r="X62" s="48"/>
      <c r="Y62" s="48"/>
      <c r="Z62" s="47"/>
      <c r="AA62" s="69">
        <v>62</v>
      </c>
      <c r="AB62" s="69"/>
      <c r="AC62" s="70"/>
      <c r="AD62" s="76" t="s">
        <v>6190</v>
      </c>
      <c r="AE62" s="81" t="s">
        <v>5894</v>
      </c>
      <c r="AF62" s="76">
        <v>5</v>
      </c>
      <c r="AG62" s="76">
        <v>2</v>
      </c>
      <c r="AH62" s="76">
        <v>19</v>
      </c>
      <c r="AI62" s="76">
        <v>0</v>
      </c>
      <c r="AJ62" s="76">
        <v>0</v>
      </c>
      <c r="AK62" s="76">
        <v>19</v>
      </c>
      <c r="AL62" s="76" t="b">
        <v>0</v>
      </c>
      <c r="AM62" s="78">
        <v>45077.663935185185</v>
      </c>
      <c r="AN62" s="76"/>
      <c r="AO62" s="76"/>
      <c r="AP62" s="76"/>
      <c r="AQ62" s="76"/>
      <c r="AR62" s="76"/>
      <c r="AS62" s="76"/>
      <c r="AT62" s="76"/>
      <c r="AU62" s="76"/>
      <c r="AV62" s="76"/>
      <c r="AW62" s="76"/>
      <c r="AX62" s="76" t="b">
        <v>0</v>
      </c>
      <c r="AY62" s="76"/>
      <c r="AZ62" s="76"/>
      <c r="BA62" s="76" t="b">
        <v>0</v>
      </c>
      <c r="BB62" s="76" t="b">
        <v>1</v>
      </c>
      <c r="BC62" s="76" t="b">
        <v>1</v>
      </c>
      <c r="BD62" s="76" t="b">
        <v>0</v>
      </c>
      <c r="BE62" s="76" t="b">
        <v>0</v>
      </c>
      <c r="BF62" s="76" t="b">
        <v>0</v>
      </c>
      <c r="BG62" s="76" t="b">
        <v>0</v>
      </c>
      <c r="BH62" s="76"/>
      <c r="BI62" s="76"/>
      <c r="BJ62" s="76" t="s">
        <v>7245</v>
      </c>
      <c r="BK62" s="76" t="b">
        <v>0</v>
      </c>
      <c r="BL62" s="76"/>
      <c r="BM62" s="76" t="s">
        <v>66</v>
      </c>
      <c r="BN62" s="76" t="s">
        <v>7247</v>
      </c>
      <c r="BO62" s="83" t="str">
        <f>HYPERLINK("https://twitter.com/infogainbrazil")</f>
        <v>https://twitter.com/infogainbrazil</v>
      </c>
      <c r="BP62" s="2"/>
    </row>
    <row r="63" spans="1:68" x14ac:dyDescent="0.25">
      <c r="A63" s="62" t="s">
        <v>281</v>
      </c>
      <c r="B63" s="63"/>
      <c r="C63" s="63"/>
      <c r="D63" s="64"/>
      <c r="E63" s="66"/>
      <c r="F63" s="102" t="str">
        <f>HYPERLINK("https://pbs.twimg.com/profile_images/1616247606157496320/l4pwSVaL_normal.jpg")</f>
        <v>https://pbs.twimg.com/profile_images/1616247606157496320/l4pwSVaL_normal.jpg</v>
      </c>
      <c r="G63" s="63"/>
      <c r="H63" s="67"/>
      <c r="I63" s="68"/>
      <c r="J63" s="68"/>
      <c r="K63" s="67" t="s">
        <v>7307</v>
      </c>
      <c r="L63" s="71"/>
      <c r="M63" s="72"/>
      <c r="N63" s="72"/>
      <c r="O63" s="73"/>
      <c r="P63" s="74"/>
      <c r="Q63" s="74"/>
      <c r="R63" s="86"/>
      <c r="S63" s="86"/>
      <c r="T63" s="86"/>
      <c r="U63" s="86"/>
      <c r="V63" s="48"/>
      <c r="W63" s="48"/>
      <c r="X63" s="48"/>
      <c r="Y63" s="48"/>
      <c r="Z63" s="47"/>
      <c r="AA63" s="69">
        <v>63</v>
      </c>
      <c r="AB63" s="69"/>
      <c r="AC63" s="70"/>
      <c r="AD63" s="76" t="s">
        <v>6191</v>
      </c>
      <c r="AE63" s="81" t="s">
        <v>5581</v>
      </c>
      <c r="AF63" s="76">
        <v>2</v>
      </c>
      <c r="AG63" s="76">
        <v>0</v>
      </c>
      <c r="AH63" s="76">
        <v>97</v>
      </c>
      <c r="AI63" s="76">
        <v>0</v>
      </c>
      <c r="AJ63" s="76">
        <v>17</v>
      </c>
      <c r="AK63" s="76">
        <v>97</v>
      </c>
      <c r="AL63" s="76" t="b">
        <v>0</v>
      </c>
      <c r="AM63" s="78">
        <v>44946.064918981479</v>
      </c>
      <c r="AN63" s="76"/>
      <c r="AO63" s="76" t="s">
        <v>6726</v>
      </c>
      <c r="AP63" s="83" t="str">
        <f>HYPERLINK("https://t.co/yuUvpcgy3Y")</f>
        <v>https://t.co/yuUvpcgy3Y</v>
      </c>
      <c r="AQ63" s="83" t="str">
        <f>HYPERLINK("https://www.instagram.com/minteredu")</f>
        <v>https://www.instagram.com/minteredu</v>
      </c>
      <c r="AR63" s="76" t="s">
        <v>7036</v>
      </c>
      <c r="AS63" s="83" t="str">
        <f>HYPERLINK("https://t.co/pkS0sEMfzD")</f>
        <v>https://t.co/pkS0sEMfzD</v>
      </c>
      <c r="AT63" s="83" t="str">
        <f>HYPERLINK("https://www.minter.com.br")</f>
        <v>https://www.minter.com.br</v>
      </c>
      <c r="AU63" s="76" t="s">
        <v>7222</v>
      </c>
      <c r="AV63" s="76"/>
      <c r="AW63" s="83" t="str">
        <f>HYPERLINK("https://t.co/yuUvpcgy3Y")</f>
        <v>https://t.co/yuUvpcgy3Y</v>
      </c>
      <c r="AX63" s="76" t="b">
        <v>0</v>
      </c>
      <c r="AY63" s="76"/>
      <c r="AZ63" s="76"/>
      <c r="BA63" s="76" t="b">
        <v>0</v>
      </c>
      <c r="BB63" s="76" t="b">
        <v>1</v>
      </c>
      <c r="BC63" s="76" t="b">
        <v>1</v>
      </c>
      <c r="BD63" s="76" t="b">
        <v>0</v>
      </c>
      <c r="BE63" s="76" t="b">
        <v>0</v>
      </c>
      <c r="BF63" s="76" t="b">
        <v>0</v>
      </c>
      <c r="BG63" s="76" t="b">
        <v>0</v>
      </c>
      <c r="BH63" s="83" t="str">
        <f>HYPERLINK("https://pbs.twimg.com/profile_banners/1616247480068313088/1674178731")</f>
        <v>https://pbs.twimg.com/profile_banners/1616247480068313088/1674178731</v>
      </c>
      <c r="BI63" s="76"/>
      <c r="BJ63" s="76" t="s">
        <v>7245</v>
      </c>
      <c r="BK63" s="76" t="b">
        <v>0</v>
      </c>
      <c r="BL63" s="76"/>
      <c r="BM63" s="76" t="s">
        <v>66</v>
      </c>
      <c r="BN63" s="76" t="s">
        <v>7247</v>
      </c>
      <c r="BO63" s="83" t="str">
        <f>HYPERLINK("https://twitter.com/minteredu")</f>
        <v>https://twitter.com/minteredu</v>
      </c>
      <c r="BP63" s="2"/>
    </row>
    <row r="64" spans="1:68" x14ac:dyDescent="0.25">
      <c r="A64" s="62" t="s">
        <v>282</v>
      </c>
      <c r="B64" s="63"/>
      <c r="C64" s="63"/>
      <c r="D64" s="64"/>
      <c r="E64" s="66"/>
      <c r="F64" s="102" t="str">
        <f>HYPERLINK("https://pbs.twimg.com/profile_images/1549076227935408129/N6BEug99_normal.jpg")</f>
        <v>https://pbs.twimg.com/profile_images/1549076227935408129/N6BEug99_normal.jpg</v>
      </c>
      <c r="G64" s="63"/>
      <c r="H64" s="67"/>
      <c r="I64" s="68"/>
      <c r="J64" s="68"/>
      <c r="K64" s="67" t="s">
        <v>7308</v>
      </c>
      <c r="L64" s="71"/>
      <c r="M64" s="72"/>
      <c r="N64" s="72"/>
      <c r="O64" s="73"/>
      <c r="P64" s="74"/>
      <c r="Q64" s="74"/>
      <c r="R64" s="86"/>
      <c r="S64" s="86"/>
      <c r="T64" s="86"/>
      <c r="U64" s="86"/>
      <c r="V64" s="48"/>
      <c r="W64" s="48"/>
      <c r="X64" s="48"/>
      <c r="Y64" s="48"/>
      <c r="Z64" s="47"/>
      <c r="AA64" s="69">
        <v>64</v>
      </c>
      <c r="AB64" s="69"/>
      <c r="AC64" s="70"/>
      <c r="AD64" s="76" t="s">
        <v>6192</v>
      </c>
      <c r="AE64" s="81" t="s">
        <v>5895</v>
      </c>
      <c r="AF64" s="76">
        <v>59</v>
      </c>
      <c r="AG64" s="76">
        <v>98</v>
      </c>
      <c r="AH64" s="76">
        <v>733</v>
      </c>
      <c r="AI64" s="76">
        <v>0</v>
      </c>
      <c r="AJ64" s="76">
        <v>74</v>
      </c>
      <c r="AK64" s="76">
        <v>646</v>
      </c>
      <c r="AL64" s="76" t="b">
        <v>0</v>
      </c>
      <c r="AM64" s="78">
        <v>44307.684236111112</v>
      </c>
      <c r="AN64" s="76"/>
      <c r="AO64" s="76" t="s">
        <v>6727</v>
      </c>
      <c r="AP64" s="83" t="str">
        <f>HYPERLINK("https://t.co/v6SYnsw7z5")</f>
        <v>https://t.co/v6SYnsw7z5</v>
      </c>
      <c r="AQ64" s="83" t="str">
        <f>HYPERLINK("https://linktr.ee/tradersaedrashid")</f>
        <v>https://linktr.ee/tradersaedrashid</v>
      </c>
      <c r="AR64" s="76" t="s">
        <v>7037</v>
      </c>
      <c r="AS64" s="76"/>
      <c r="AT64" s="76"/>
      <c r="AU64" s="76"/>
      <c r="AV64" s="76"/>
      <c r="AW64" s="83" t="str">
        <f>HYPERLINK("https://t.co/v6SYnsw7z5")</f>
        <v>https://t.co/v6SYnsw7z5</v>
      </c>
      <c r="AX64" s="76" t="b">
        <v>0</v>
      </c>
      <c r="AY64" s="76"/>
      <c r="AZ64" s="76"/>
      <c r="BA64" s="76" t="b">
        <v>0</v>
      </c>
      <c r="BB64" s="76" t="b">
        <v>1</v>
      </c>
      <c r="BC64" s="76" t="b">
        <v>1</v>
      </c>
      <c r="BD64" s="76" t="b">
        <v>0</v>
      </c>
      <c r="BE64" s="76" t="b">
        <v>0</v>
      </c>
      <c r="BF64" s="76" t="b">
        <v>0</v>
      </c>
      <c r="BG64" s="76" t="b">
        <v>0</v>
      </c>
      <c r="BH64" s="83" t="str">
        <f>HYPERLINK("https://pbs.twimg.com/profile_banners/1384906063372238851/1658494537")</f>
        <v>https://pbs.twimg.com/profile_banners/1384906063372238851/1658494537</v>
      </c>
      <c r="BI64" s="76"/>
      <c r="BJ64" s="76" t="s">
        <v>7245</v>
      </c>
      <c r="BK64" s="76" t="b">
        <v>0</v>
      </c>
      <c r="BL64" s="76"/>
      <c r="BM64" s="76" t="s">
        <v>66</v>
      </c>
      <c r="BN64" s="76" t="s">
        <v>7247</v>
      </c>
      <c r="BO64" s="83" t="str">
        <f>HYPERLINK("https://twitter.com/tradersaed")</f>
        <v>https://twitter.com/tradersaed</v>
      </c>
      <c r="BP64" s="2"/>
    </row>
    <row r="65" spans="1:68" x14ac:dyDescent="0.25">
      <c r="A65" s="62" t="s">
        <v>283</v>
      </c>
      <c r="B65" s="63"/>
      <c r="C65" s="63"/>
      <c r="D65" s="64"/>
      <c r="E65" s="66"/>
      <c r="F65" s="102" t="str">
        <f>HYPERLINK("https://pbs.twimg.com/profile_images/1609890382300471297/1HGHH84K_normal.png")</f>
        <v>https://pbs.twimg.com/profile_images/1609890382300471297/1HGHH84K_normal.png</v>
      </c>
      <c r="G65" s="63"/>
      <c r="H65" s="67"/>
      <c r="I65" s="68"/>
      <c r="J65" s="68"/>
      <c r="K65" s="67" t="s">
        <v>7309</v>
      </c>
      <c r="L65" s="71"/>
      <c r="M65" s="72"/>
      <c r="N65" s="72"/>
      <c r="O65" s="73"/>
      <c r="P65" s="74"/>
      <c r="Q65" s="74"/>
      <c r="R65" s="86"/>
      <c r="S65" s="86"/>
      <c r="T65" s="86"/>
      <c r="U65" s="86"/>
      <c r="V65" s="48"/>
      <c r="W65" s="48"/>
      <c r="X65" s="48"/>
      <c r="Y65" s="48"/>
      <c r="Z65" s="47"/>
      <c r="AA65" s="69">
        <v>65</v>
      </c>
      <c r="AB65" s="69"/>
      <c r="AC65" s="70"/>
      <c r="AD65" s="76" t="s">
        <v>6193</v>
      </c>
      <c r="AE65" s="81" t="s">
        <v>6493</v>
      </c>
      <c r="AF65" s="76">
        <v>149</v>
      </c>
      <c r="AG65" s="76">
        <v>137</v>
      </c>
      <c r="AH65" s="76">
        <v>2288</v>
      </c>
      <c r="AI65" s="76">
        <v>1</v>
      </c>
      <c r="AJ65" s="76">
        <v>6</v>
      </c>
      <c r="AK65" s="76">
        <v>309</v>
      </c>
      <c r="AL65" s="76" t="b">
        <v>0</v>
      </c>
      <c r="AM65" s="78">
        <v>40993.628981481481</v>
      </c>
      <c r="AN65" s="76" t="s">
        <v>3762</v>
      </c>
      <c r="AO65" s="76" t="s">
        <v>6728</v>
      </c>
      <c r="AP65" s="83" t="str">
        <f>HYPERLINK("https://t.co/BdoUz1mriB")</f>
        <v>https://t.co/BdoUz1mriB</v>
      </c>
      <c r="AQ65" s="83" t="str">
        <f>HYPERLINK("https://www.instagram.com/pulsofinanceiro/")</f>
        <v>https://www.instagram.com/pulsofinanceiro/</v>
      </c>
      <c r="AR65" s="76" t="s">
        <v>7038</v>
      </c>
      <c r="AS65" s="76"/>
      <c r="AT65" s="76"/>
      <c r="AU65" s="76"/>
      <c r="AV65" s="76"/>
      <c r="AW65" s="83" t="str">
        <f>HYPERLINK("https://t.co/BdoUz1mriB")</f>
        <v>https://t.co/BdoUz1mriB</v>
      </c>
      <c r="AX65" s="76" t="b">
        <v>0</v>
      </c>
      <c r="AY65" s="76"/>
      <c r="AZ65" s="76"/>
      <c r="BA65" s="76" t="b">
        <v>1</v>
      </c>
      <c r="BB65" s="76" t="b">
        <v>1</v>
      </c>
      <c r="BC65" s="76" t="b">
        <v>0</v>
      </c>
      <c r="BD65" s="76" t="b">
        <v>0</v>
      </c>
      <c r="BE65" s="76" t="b">
        <v>0</v>
      </c>
      <c r="BF65" s="76" t="b">
        <v>0</v>
      </c>
      <c r="BG65" s="76" t="b">
        <v>0</v>
      </c>
      <c r="BH65" s="83" t="str">
        <f>HYPERLINK("https://pbs.twimg.com/profile_banners/536380588/1451739933")</f>
        <v>https://pbs.twimg.com/profile_banners/536380588/1451739933</v>
      </c>
      <c r="BI65" s="76"/>
      <c r="BJ65" s="76" t="s">
        <v>7245</v>
      </c>
      <c r="BK65" s="76" t="b">
        <v>0</v>
      </c>
      <c r="BL65" s="76"/>
      <c r="BM65" s="76" t="s">
        <v>66</v>
      </c>
      <c r="BN65" s="76" t="s">
        <v>7247</v>
      </c>
      <c r="BO65" s="83" t="str">
        <f>HYPERLINK("https://twitter.com/irineubere")</f>
        <v>https://twitter.com/irineubere</v>
      </c>
      <c r="BP65" s="2"/>
    </row>
    <row r="66" spans="1:68" x14ac:dyDescent="0.25">
      <c r="A66" s="62" t="s">
        <v>284</v>
      </c>
      <c r="B66" s="63"/>
      <c r="C66" s="63"/>
      <c r="D66" s="64"/>
      <c r="E66" s="66"/>
      <c r="F66" s="102" t="str">
        <f>HYPERLINK("https://pbs.twimg.com/profile_images/1615370999251214339/7sfw6L_f_normal.jpg")</f>
        <v>https://pbs.twimg.com/profile_images/1615370999251214339/7sfw6L_f_normal.jpg</v>
      </c>
      <c r="G66" s="63"/>
      <c r="H66" s="67"/>
      <c r="I66" s="68"/>
      <c r="J66" s="68"/>
      <c r="K66" s="67" t="s">
        <v>7310</v>
      </c>
      <c r="L66" s="71"/>
      <c r="M66" s="72"/>
      <c r="N66" s="72"/>
      <c r="O66" s="73"/>
      <c r="P66" s="74"/>
      <c r="Q66" s="74"/>
      <c r="R66" s="86"/>
      <c r="S66" s="86"/>
      <c r="T66" s="86"/>
      <c r="U66" s="86"/>
      <c r="V66" s="48"/>
      <c r="W66" s="48"/>
      <c r="X66" s="48"/>
      <c r="Y66" s="48"/>
      <c r="Z66" s="47"/>
      <c r="AA66" s="69">
        <v>66</v>
      </c>
      <c r="AB66" s="69"/>
      <c r="AC66" s="70"/>
      <c r="AD66" s="76" t="s">
        <v>6194</v>
      </c>
      <c r="AE66" s="81" t="s">
        <v>5896</v>
      </c>
      <c r="AF66" s="76">
        <v>44</v>
      </c>
      <c r="AG66" s="76">
        <v>147</v>
      </c>
      <c r="AH66" s="76">
        <v>176</v>
      </c>
      <c r="AI66" s="76">
        <v>2</v>
      </c>
      <c r="AJ66" s="76">
        <v>613</v>
      </c>
      <c r="AK66" s="76">
        <v>65</v>
      </c>
      <c r="AL66" s="76" t="b">
        <v>0</v>
      </c>
      <c r="AM66" s="78">
        <v>44718.804224537038</v>
      </c>
      <c r="AN66" s="76"/>
      <c r="AO66" s="76" t="s">
        <v>6729</v>
      </c>
      <c r="AP66" s="83" t="str">
        <f>HYPERLINK("https://t.co/vfuULJv1EQ")</f>
        <v>https://t.co/vfuULJv1EQ</v>
      </c>
      <c r="AQ66" s="83" t="str">
        <f>HYPERLINK("https://pay.kiwify.com.br/00ZlCGH")</f>
        <v>https://pay.kiwify.com.br/00ZlCGH</v>
      </c>
      <c r="AR66" s="76" t="s">
        <v>7039</v>
      </c>
      <c r="AS66" s="83" t="str">
        <f>HYPERLINK("https://t.co/vfuULJv1EQ")</f>
        <v>https://t.co/vfuULJv1EQ</v>
      </c>
      <c r="AT66" s="83" t="str">
        <f>HYPERLINK("https://pay.kiwify.com.br/00ZlCGH")</f>
        <v>https://pay.kiwify.com.br/00ZlCGH</v>
      </c>
      <c r="AU66" s="76" t="s">
        <v>7039</v>
      </c>
      <c r="AV66" s="76"/>
      <c r="AW66" s="83" t="str">
        <f>HYPERLINK("https://t.co/vfuULJv1EQ")</f>
        <v>https://t.co/vfuULJv1EQ</v>
      </c>
      <c r="AX66" s="76" t="b">
        <v>0</v>
      </c>
      <c r="AY66" s="76"/>
      <c r="AZ66" s="76"/>
      <c r="BA66" s="76" t="b">
        <v>0</v>
      </c>
      <c r="BB66" s="76" t="b">
        <v>1</v>
      </c>
      <c r="BC66" s="76" t="b">
        <v>1</v>
      </c>
      <c r="BD66" s="76" t="b">
        <v>0</v>
      </c>
      <c r="BE66" s="76" t="b">
        <v>0</v>
      </c>
      <c r="BF66" s="76" t="b">
        <v>0</v>
      </c>
      <c r="BG66" s="76" t="b">
        <v>0</v>
      </c>
      <c r="BH66" s="76"/>
      <c r="BI66" s="76"/>
      <c r="BJ66" s="76" t="s">
        <v>7245</v>
      </c>
      <c r="BK66" s="76" t="b">
        <v>0</v>
      </c>
      <c r="BL66" s="76"/>
      <c r="BM66" s="76" t="s">
        <v>66</v>
      </c>
      <c r="BN66" s="76" t="s">
        <v>7247</v>
      </c>
      <c r="BO66" s="83" t="str">
        <f>HYPERLINK("https://twitter.com/leandrotst39")</f>
        <v>https://twitter.com/leandrotst39</v>
      </c>
      <c r="BP66" s="2"/>
    </row>
    <row r="67" spans="1:68" x14ac:dyDescent="0.25">
      <c r="A67" s="62" t="s">
        <v>285</v>
      </c>
      <c r="B67" s="63"/>
      <c r="C67" s="63"/>
      <c r="D67" s="64"/>
      <c r="E67" s="66"/>
      <c r="F67" s="102" t="str">
        <f>HYPERLINK("https://pbs.twimg.com/profile_images/1643925398399451136/Bn5Zj9zT_normal.jpg")</f>
        <v>https://pbs.twimg.com/profile_images/1643925398399451136/Bn5Zj9zT_normal.jpg</v>
      </c>
      <c r="G67" s="63"/>
      <c r="H67" s="67"/>
      <c r="I67" s="68"/>
      <c r="J67" s="68"/>
      <c r="K67" s="67" t="s">
        <v>7311</v>
      </c>
      <c r="L67" s="71"/>
      <c r="M67" s="72"/>
      <c r="N67" s="72"/>
      <c r="O67" s="73"/>
      <c r="P67" s="74"/>
      <c r="Q67" s="74"/>
      <c r="R67" s="86"/>
      <c r="S67" s="86"/>
      <c r="T67" s="86"/>
      <c r="U67" s="86"/>
      <c r="V67" s="48"/>
      <c r="W67" s="48"/>
      <c r="X67" s="48"/>
      <c r="Y67" s="48"/>
      <c r="Z67" s="47"/>
      <c r="AA67" s="69">
        <v>67</v>
      </c>
      <c r="AB67" s="69"/>
      <c r="AC67" s="70"/>
      <c r="AD67" s="76" t="s">
        <v>6195</v>
      </c>
      <c r="AE67" s="81" t="s">
        <v>5582</v>
      </c>
      <c r="AF67" s="76">
        <v>34</v>
      </c>
      <c r="AG67" s="76">
        <v>145</v>
      </c>
      <c r="AH67" s="76">
        <v>1582</v>
      </c>
      <c r="AI67" s="76">
        <v>1</v>
      </c>
      <c r="AJ67" s="76">
        <v>21</v>
      </c>
      <c r="AK67" s="76">
        <v>242</v>
      </c>
      <c r="AL67" s="76" t="b">
        <v>0</v>
      </c>
      <c r="AM67" s="78">
        <v>45022.437534722223</v>
      </c>
      <c r="AN67" s="76" t="s">
        <v>6566</v>
      </c>
      <c r="AO67" s="76" t="s">
        <v>6730</v>
      </c>
      <c r="AP67" s="76"/>
      <c r="AQ67" s="76"/>
      <c r="AR67" s="76"/>
      <c r="AS67" s="76"/>
      <c r="AT67" s="76"/>
      <c r="AU67" s="76"/>
      <c r="AV67" s="76"/>
      <c r="AW67" s="76"/>
      <c r="AX67" s="76" t="b">
        <v>0</v>
      </c>
      <c r="AY67" s="76"/>
      <c r="AZ67" s="76"/>
      <c r="BA67" s="76" t="b">
        <v>0</v>
      </c>
      <c r="BB67" s="76" t="b">
        <v>1</v>
      </c>
      <c r="BC67" s="76" t="b">
        <v>1</v>
      </c>
      <c r="BD67" s="76" t="b">
        <v>0</v>
      </c>
      <c r="BE67" s="76" t="b">
        <v>0</v>
      </c>
      <c r="BF67" s="76" t="b">
        <v>0</v>
      </c>
      <c r="BG67" s="76" t="b">
        <v>0</v>
      </c>
      <c r="BH67" s="83" t="str">
        <f>HYPERLINK("https://pbs.twimg.com/profile_banners/1643923928153219074/1680948727")</f>
        <v>https://pbs.twimg.com/profile_banners/1643923928153219074/1680948727</v>
      </c>
      <c r="BI67" s="76"/>
      <c r="BJ67" s="76" t="s">
        <v>7245</v>
      </c>
      <c r="BK67" s="76" t="b">
        <v>0</v>
      </c>
      <c r="BL67" s="76"/>
      <c r="BM67" s="76" t="s">
        <v>66</v>
      </c>
      <c r="BN67" s="76" t="s">
        <v>7247</v>
      </c>
      <c r="BO67" s="83" t="str">
        <f>HYPERLINK("https://twitter.com/cryptoportugal1")</f>
        <v>https://twitter.com/cryptoportugal1</v>
      </c>
      <c r="BP67" s="2"/>
    </row>
    <row r="68" spans="1:68" x14ac:dyDescent="0.25">
      <c r="A68" s="62" t="s">
        <v>286</v>
      </c>
      <c r="B68" s="63"/>
      <c r="C68" s="63"/>
      <c r="D68" s="64"/>
      <c r="E68" s="66"/>
      <c r="F68" s="102" t="str">
        <f>HYPERLINK("https://pbs.twimg.com/profile_images/1652481695642275840/rBi-8opz_normal.jpg")</f>
        <v>https://pbs.twimg.com/profile_images/1652481695642275840/rBi-8opz_normal.jpg</v>
      </c>
      <c r="G68" s="63"/>
      <c r="H68" s="67"/>
      <c r="I68" s="68"/>
      <c r="J68" s="68"/>
      <c r="K68" s="67" t="s">
        <v>7312</v>
      </c>
      <c r="L68" s="71"/>
      <c r="M68" s="72"/>
      <c r="N68" s="72"/>
      <c r="O68" s="73"/>
      <c r="P68" s="74"/>
      <c r="Q68" s="74"/>
      <c r="R68" s="86"/>
      <c r="S68" s="86"/>
      <c r="T68" s="86"/>
      <c r="U68" s="86"/>
      <c r="V68" s="48"/>
      <c r="W68" s="48"/>
      <c r="X68" s="48"/>
      <c r="Y68" s="48"/>
      <c r="Z68" s="47"/>
      <c r="AA68" s="69">
        <v>68</v>
      </c>
      <c r="AB68" s="69"/>
      <c r="AC68" s="70"/>
      <c r="AD68" s="76" t="s">
        <v>6196</v>
      </c>
      <c r="AE68" s="81" t="s">
        <v>5897</v>
      </c>
      <c r="AF68" s="76">
        <v>33</v>
      </c>
      <c r="AG68" s="76">
        <v>98</v>
      </c>
      <c r="AH68" s="76">
        <v>334</v>
      </c>
      <c r="AI68" s="76">
        <v>0</v>
      </c>
      <c r="AJ68" s="76">
        <v>428</v>
      </c>
      <c r="AK68" s="76">
        <v>305</v>
      </c>
      <c r="AL68" s="76" t="b">
        <v>0</v>
      </c>
      <c r="AM68" s="78">
        <v>45035.902314814812</v>
      </c>
      <c r="AN68" s="76" t="s">
        <v>6580</v>
      </c>
      <c r="AO68" s="76" t="s">
        <v>6731</v>
      </c>
      <c r="AP68" s="83" t="str">
        <f>HYPERLINK("https://t.co/RKOmH1JE8P")</f>
        <v>https://t.co/RKOmH1JE8P</v>
      </c>
      <c r="AQ68" s="83" t="str">
        <f>HYPERLINK("https://t.me/Arielyaari44402")</f>
        <v>https://t.me/Arielyaari44402</v>
      </c>
      <c r="AR68" s="76" t="s">
        <v>7040</v>
      </c>
      <c r="AS68" s="76"/>
      <c r="AT68" s="76"/>
      <c r="AU68" s="76"/>
      <c r="AV68" s="76"/>
      <c r="AW68" s="83" t="str">
        <f>HYPERLINK("https://t.co/RKOmH1JE8P")</f>
        <v>https://t.co/RKOmH1JE8P</v>
      </c>
      <c r="AX68" s="76" t="b">
        <v>0</v>
      </c>
      <c r="AY68" s="76"/>
      <c r="AZ68" s="76"/>
      <c r="BA68" s="76" t="b">
        <v>0</v>
      </c>
      <c r="BB68" s="76" t="b">
        <v>1</v>
      </c>
      <c r="BC68" s="76" t="b">
        <v>1</v>
      </c>
      <c r="BD68" s="76" t="b">
        <v>0</v>
      </c>
      <c r="BE68" s="76" t="b">
        <v>0</v>
      </c>
      <c r="BF68" s="76" t="b">
        <v>0</v>
      </c>
      <c r="BG68" s="76" t="b">
        <v>0</v>
      </c>
      <c r="BH68" s="83" t="str">
        <f>HYPERLINK("https://pbs.twimg.com/profile_banners/1648803451613134854/1682817301")</f>
        <v>https://pbs.twimg.com/profile_banners/1648803451613134854/1682817301</v>
      </c>
      <c r="BI68" s="76"/>
      <c r="BJ68" s="76" t="s">
        <v>7245</v>
      </c>
      <c r="BK68" s="76" t="b">
        <v>0</v>
      </c>
      <c r="BL68" s="76"/>
      <c r="BM68" s="76" t="s">
        <v>66</v>
      </c>
      <c r="BN68" s="76" t="s">
        <v>7247</v>
      </c>
      <c r="BO68" s="83" t="str">
        <f>HYPERLINK("https://twitter.com/arielyaari44402")</f>
        <v>https://twitter.com/arielyaari44402</v>
      </c>
      <c r="BP68" s="2"/>
    </row>
    <row r="69" spans="1:68" x14ac:dyDescent="0.25">
      <c r="A69" s="62" t="s">
        <v>287</v>
      </c>
      <c r="B69" s="63"/>
      <c r="C69" s="63"/>
      <c r="D69" s="64"/>
      <c r="E69" s="66"/>
      <c r="F69" s="102" t="str">
        <f>HYPERLINK("https://pbs.twimg.com/profile_images/1608549624301731842/L6RXRGAk_normal.jpg")</f>
        <v>https://pbs.twimg.com/profile_images/1608549624301731842/L6RXRGAk_normal.jpg</v>
      </c>
      <c r="G69" s="63"/>
      <c r="H69" s="67"/>
      <c r="I69" s="68"/>
      <c r="J69" s="68"/>
      <c r="K69" s="67" t="s">
        <v>7313</v>
      </c>
      <c r="L69" s="71"/>
      <c r="M69" s="72"/>
      <c r="N69" s="72"/>
      <c r="O69" s="73"/>
      <c r="P69" s="74"/>
      <c r="Q69" s="74"/>
      <c r="R69" s="86"/>
      <c r="S69" s="86"/>
      <c r="T69" s="86"/>
      <c r="U69" s="86"/>
      <c r="V69" s="48"/>
      <c r="W69" s="48"/>
      <c r="X69" s="48"/>
      <c r="Y69" s="48"/>
      <c r="Z69" s="47"/>
      <c r="AA69" s="69">
        <v>69</v>
      </c>
      <c r="AB69" s="69"/>
      <c r="AC69" s="70"/>
      <c r="AD69" s="76" t="s">
        <v>6197</v>
      </c>
      <c r="AE69" s="81" t="s">
        <v>5898</v>
      </c>
      <c r="AF69" s="76">
        <v>0</v>
      </c>
      <c r="AG69" s="76">
        <v>15</v>
      </c>
      <c r="AH69" s="76">
        <v>8</v>
      </c>
      <c r="AI69" s="76">
        <v>0</v>
      </c>
      <c r="AJ69" s="76">
        <v>2</v>
      </c>
      <c r="AK69" s="76">
        <v>3</v>
      </c>
      <c r="AL69" s="76" t="b">
        <v>0</v>
      </c>
      <c r="AM69" s="78">
        <v>44924.822106481479</v>
      </c>
      <c r="AN69" s="76" t="s">
        <v>3760</v>
      </c>
      <c r="AO69" s="76" t="s">
        <v>6732</v>
      </c>
      <c r="AP69" s="83" t="str">
        <f>HYPERLINK("https://t.co/C901OLGnh4")</f>
        <v>https://t.co/C901OLGnh4</v>
      </c>
      <c r="AQ69" s="83" t="str">
        <f>HYPERLINK("https://bit.ly/sua-1-primeira-venda")</f>
        <v>https://bit.ly/sua-1-primeira-venda</v>
      </c>
      <c r="AR69" s="76" t="s">
        <v>7041</v>
      </c>
      <c r="AS69" s="76"/>
      <c r="AT69" s="76"/>
      <c r="AU69" s="76"/>
      <c r="AV69" s="76">
        <v>1.6136289706410099E+18</v>
      </c>
      <c r="AW69" s="83" t="str">
        <f>HYPERLINK("https://t.co/C901OLGnh4")</f>
        <v>https://t.co/C901OLGnh4</v>
      </c>
      <c r="AX69" s="76" t="b">
        <v>0</v>
      </c>
      <c r="AY69" s="76"/>
      <c r="AZ69" s="76"/>
      <c r="BA69" s="76" t="b">
        <v>0</v>
      </c>
      <c r="BB69" s="76" t="b">
        <v>1</v>
      </c>
      <c r="BC69" s="76" t="b">
        <v>1</v>
      </c>
      <c r="BD69" s="76" t="b">
        <v>0</v>
      </c>
      <c r="BE69" s="76" t="b">
        <v>0</v>
      </c>
      <c r="BF69" s="76" t="b">
        <v>0</v>
      </c>
      <c r="BG69" s="76" t="b">
        <v>0</v>
      </c>
      <c r="BH69" s="83" t="str">
        <f>HYPERLINK("https://pbs.twimg.com/profile_banners/1608549283157970946/1672344664")</f>
        <v>https://pbs.twimg.com/profile_banners/1608549283157970946/1672344664</v>
      </c>
      <c r="BI69" s="76"/>
      <c r="BJ69" s="76" t="s">
        <v>7245</v>
      </c>
      <c r="BK69" s="76" t="b">
        <v>0</v>
      </c>
      <c r="BL69" s="76"/>
      <c r="BM69" s="76" t="s">
        <v>66</v>
      </c>
      <c r="BN69" s="76" t="s">
        <v>7247</v>
      </c>
      <c r="BO69" s="83" t="str">
        <f>HYPERLINK("https://twitter.com/vendas0nline_")</f>
        <v>https://twitter.com/vendas0nline_</v>
      </c>
      <c r="BP69" s="2"/>
    </row>
    <row r="70" spans="1:68" x14ac:dyDescent="0.25">
      <c r="A70" s="62" t="s">
        <v>288</v>
      </c>
      <c r="B70" s="63"/>
      <c r="C70" s="63"/>
      <c r="D70" s="64"/>
      <c r="E70" s="66"/>
      <c r="F70" s="102" t="str">
        <f>HYPERLINK("https://pbs.twimg.com/profile_images/1588067615293022209/uHqvyswj_normal.jpg")</f>
        <v>https://pbs.twimg.com/profile_images/1588067615293022209/uHqvyswj_normal.jpg</v>
      </c>
      <c r="G70" s="63"/>
      <c r="H70" s="67"/>
      <c r="I70" s="68"/>
      <c r="J70" s="68"/>
      <c r="K70" s="67" t="s">
        <v>7314</v>
      </c>
      <c r="L70" s="71"/>
      <c r="M70" s="72"/>
      <c r="N70" s="72"/>
      <c r="O70" s="73"/>
      <c r="P70" s="74"/>
      <c r="Q70" s="74"/>
      <c r="R70" s="86"/>
      <c r="S70" s="86"/>
      <c r="T70" s="86"/>
      <c r="U70" s="86"/>
      <c r="V70" s="48"/>
      <c r="W70" s="48"/>
      <c r="X70" s="48"/>
      <c r="Y70" s="48"/>
      <c r="Z70" s="47"/>
      <c r="AA70" s="69">
        <v>70</v>
      </c>
      <c r="AB70" s="69"/>
      <c r="AC70" s="70"/>
      <c r="AD70" s="76" t="s">
        <v>6198</v>
      </c>
      <c r="AE70" s="81" t="s">
        <v>5899</v>
      </c>
      <c r="AF70" s="76">
        <v>10</v>
      </c>
      <c r="AG70" s="76">
        <v>37</v>
      </c>
      <c r="AH70" s="76">
        <v>810</v>
      </c>
      <c r="AI70" s="76">
        <v>0</v>
      </c>
      <c r="AJ70" s="76">
        <v>2229</v>
      </c>
      <c r="AK70" s="76">
        <v>183</v>
      </c>
      <c r="AL70" s="76" t="b">
        <v>0</v>
      </c>
      <c r="AM70" s="78">
        <v>44785.126956018517</v>
      </c>
      <c r="AN70" s="76"/>
      <c r="AO70" s="76" t="s">
        <v>6733</v>
      </c>
      <c r="AP70" s="76"/>
      <c r="AQ70" s="76"/>
      <c r="AR70" s="76"/>
      <c r="AS70" s="76"/>
      <c r="AT70" s="76"/>
      <c r="AU70" s="76"/>
      <c r="AV70" s="76"/>
      <c r="AW70" s="76"/>
      <c r="AX70" s="76" t="b">
        <v>0</v>
      </c>
      <c r="AY70" s="76"/>
      <c r="AZ70" s="76"/>
      <c r="BA70" s="76" t="b">
        <v>1</v>
      </c>
      <c r="BB70" s="76" t="b">
        <v>1</v>
      </c>
      <c r="BC70" s="76" t="b">
        <v>1</v>
      </c>
      <c r="BD70" s="76" t="b">
        <v>0</v>
      </c>
      <c r="BE70" s="76" t="b">
        <v>0</v>
      </c>
      <c r="BF70" s="76" t="b">
        <v>0</v>
      </c>
      <c r="BG70" s="76" t="b">
        <v>0</v>
      </c>
      <c r="BH70" s="83" t="str">
        <f>HYPERLINK("https://pbs.twimg.com/profile_banners/1557925021254914049/1667459799")</f>
        <v>https://pbs.twimg.com/profile_banners/1557925021254914049/1667459799</v>
      </c>
      <c r="BI70" s="76"/>
      <c r="BJ70" s="76" t="s">
        <v>7245</v>
      </c>
      <c r="BK70" s="76" t="b">
        <v>0</v>
      </c>
      <c r="BL70" s="76"/>
      <c r="BM70" s="76" t="s">
        <v>66</v>
      </c>
      <c r="BN70" s="76" t="s">
        <v>7247</v>
      </c>
      <c r="BO70" s="83" t="str">
        <f>HYPERLINK("https://twitter.com/luiswolftigre")</f>
        <v>https://twitter.com/luiswolftigre</v>
      </c>
      <c r="BP70" s="2"/>
    </row>
    <row r="71" spans="1:68" x14ac:dyDescent="0.25">
      <c r="A71" s="62" t="s">
        <v>289</v>
      </c>
      <c r="B71" s="63"/>
      <c r="C71" s="63"/>
      <c r="D71" s="64"/>
      <c r="E71" s="66"/>
      <c r="F71" s="102" t="str">
        <f>HYPERLINK("https://pbs.twimg.com/profile_images/1645221347969101826/WziLHhfO_normal.jpg")</f>
        <v>https://pbs.twimg.com/profile_images/1645221347969101826/WziLHhfO_normal.jpg</v>
      </c>
      <c r="G71" s="63"/>
      <c r="H71" s="67"/>
      <c r="I71" s="68"/>
      <c r="J71" s="68"/>
      <c r="K71" s="67" t="s">
        <v>7315</v>
      </c>
      <c r="L71" s="71"/>
      <c r="M71" s="72"/>
      <c r="N71" s="72"/>
      <c r="O71" s="73"/>
      <c r="P71" s="74"/>
      <c r="Q71" s="74"/>
      <c r="R71" s="86"/>
      <c r="S71" s="86"/>
      <c r="T71" s="86"/>
      <c r="U71" s="86"/>
      <c r="V71" s="48"/>
      <c r="W71" s="48"/>
      <c r="X71" s="48"/>
      <c r="Y71" s="48"/>
      <c r="Z71" s="47"/>
      <c r="AA71" s="69">
        <v>71</v>
      </c>
      <c r="AB71" s="69"/>
      <c r="AC71" s="70"/>
      <c r="AD71" s="76" t="s">
        <v>6199</v>
      </c>
      <c r="AE71" s="81" t="s">
        <v>5900</v>
      </c>
      <c r="AF71" s="76">
        <v>4</v>
      </c>
      <c r="AG71" s="76">
        <v>0</v>
      </c>
      <c r="AH71" s="76">
        <v>275</v>
      </c>
      <c r="AI71" s="76">
        <v>0</v>
      </c>
      <c r="AJ71" s="76">
        <v>30</v>
      </c>
      <c r="AK71" s="76">
        <v>186</v>
      </c>
      <c r="AL71" s="76" t="b">
        <v>0</v>
      </c>
      <c r="AM71" s="78">
        <v>44329.89806712963</v>
      </c>
      <c r="AN71" s="76" t="s">
        <v>3752</v>
      </c>
      <c r="AO71" s="76" t="s">
        <v>6734</v>
      </c>
      <c r="AP71" s="83" t="str">
        <f>HYPERLINK("https://t.co/Yr66JcE3Gu")</f>
        <v>https://t.co/Yr66JcE3Gu</v>
      </c>
      <c r="AQ71" s="83" t="str">
        <f>HYPERLINK("https://www.credbommfinanceira.com.br")</f>
        <v>https://www.credbommfinanceira.com.br</v>
      </c>
      <c r="AR71" s="76" t="s">
        <v>7042</v>
      </c>
      <c r="AS71" s="76"/>
      <c r="AT71" s="76"/>
      <c r="AU71" s="76"/>
      <c r="AV71" s="76">
        <v>1.6871834986358001E+18</v>
      </c>
      <c r="AW71" s="83" t="str">
        <f>HYPERLINK("https://t.co/Yr66JcE3Gu")</f>
        <v>https://t.co/Yr66JcE3Gu</v>
      </c>
      <c r="AX71" s="76" t="b">
        <v>0</v>
      </c>
      <c r="AY71" s="76"/>
      <c r="AZ71" s="76"/>
      <c r="BA71" s="76" t="b">
        <v>0</v>
      </c>
      <c r="BB71" s="76" t="b">
        <v>1</v>
      </c>
      <c r="BC71" s="76" t="b">
        <v>1</v>
      </c>
      <c r="BD71" s="76" t="b">
        <v>0</v>
      </c>
      <c r="BE71" s="76" t="b">
        <v>0</v>
      </c>
      <c r="BF71" s="76" t="b">
        <v>0</v>
      </c>
      <c r="BG71" s="76" t="b">
        <v>0</v>
      </c>
      <c r="BH71" s="83" t="str">
        <f>HYPERLINK("https://pbs.twimg.com/profile_banners/1392955982045753352/1682726355")</f>
        <v>https://pbs.twimg.com/profile_banners/1392955982045753352/1682726355</v>
      </c>
      <c r="BI71" s="76"/>
      <c r="BJ71" s="76" t="s">
        <v>7245</v>
      </c>
      <c r="BK71" s="76" t="b">
        <v>0</v>
      </c>
      <c r="BL71" s="76"/>
      <c r="BM71" s="76" t="s">
        <v>66</v>
      </c>
      <c r="BN71" s="76" t="s">
        <v>7247</v>
      </c>
      <c r="BO71" s="83" t="str">
        <f>HYPERLINK("https://twitter.com/emprestimopravc")</f>
        <v>https://twitter.com/emprestimopravc</v>
      </c>
      <c r="BP71" s="2"/>
    </row>
    <row r="72" spans="1:68" x14ac:dyDescent="0.25">
      <c r="A72" s="62" t="s">
        <v>290</v>
      </c>
      <c r="B72" s="63"/>
      <c r="C72" s="63"/>
      <c r="D72" s="64"/>
      <c r="E72" s="66"/>
      <c r="F72" s="102" t="str">
        <f>HYPERLINK("https://pbs.twimg.com/profile_images/1670760057712017408/OPMgxsYG_normal.jpg")</f>
        <v>https://pbs.twimg.com/profile_images/1670760057712017408/OPMgxsYG_normal.jpg</v>
      </c>
      <c r="G72" s="63"/>
      <c r="H72" s="67"/>
      <c r="I72" s="68"/>
      <c r="J72" s="68"/>
      <c r="K72" s="67" t="s">
        <v>7316</v>
      </c>
      <c r="L72" s="71"/>
      <c r="M72" s="72"/>
      <c r="N72" s="72"/>
      <c r="O72" s="73"/>
      <c r="P72" s="74"/>
      <c r="Q72" s="74"/>
      <c r="R72" s="86"/>
      <c r="S72" s="86"/>
      <c r="T72" s="86"/>
      <c r="U72" s="86"/>
      <c r="V72" s="48"/>
      <c r="W72" s="48"/>
      <c r="X72" s="48"/>
      <c r="Y72" s="48"/>
      <c r="Z72" s="47"/>
      <c r="AA72" s="69">
        <v>72</v>
      </c>
      <c r="AB72" s="69"/>
      <c r="AC72" s="70"/>
      <c r="AD72" s="76" t="s">
        <v>6200</v>
      </c>
      <c r="AE72" s="81" t="s">
        <v>5901</v>
      </c>
      <c r="AF72" s="76">
        <v>10</v>
      </c>
      <c r="AG72" s="76">
        <v>34</v>
      </c>
      <c r="AH72" s="76">
        <v>165</v>
      </c>
      <c r="AI72" s="76">
        <v>0</v>
      </c>
      <c r="AJ72" s="76">
        <v>74</v>
      </c>
      <c r="AK72" s="76">
        <v>15</v>
      </c>
      <c r="AL72" s="76" t="b">
        <v>0</v>
      </c>
      <c r="AM72" s="78">
        <v>43224.675405092596</v>
      </c>
      <c r="AN72" s="76" t="s">
        <v>6581</v>
      </c>
      <c r="AO72" s="76" t="s">
        <v>6735</v>
      </c>
      <c r="AP72" s="83" t="str">
        <f>HYPERLINK("https://t.co/Lzt1qSVxYB")</f>
        <v>https://t.co/Lzt1qSVxYB</v>
      </c>
      <c r="AQ72" s="83" t="str">
        <f>HYPERLINK("https://www.instagram.com/jonasrocha.real")</f>
        <v>https://www.instagram.com/jonasrocha.real</v>
      </c>
      <c r="AR72" s="76" t="s">
        <v>7043</v>
      </c>
      <c r="AS72" s="76"/>
      <c r="AT72" s="76"/>
      <c r="AU72" s="76"/>
      <c r="AV72" s="76">
        <v>1.3135954524203899E+18</v>
      </c>
      <c r="AW72" s="83" t="str">
        <f>HYPERLINK("https://t.co/Lzt1qSVxYB")</f>
        <v>https://t.co/Lzt1qSVxYB</v>
      </c>
      <c r="AX72" s="76" t="b">
        <v>0</v>
      </c>
      <c r="AY72" s="76"/>
      <c r="AZ72" s="76"/>
      <c r="BA72" s="76" t="b">
        <v>0</v>
      </c>
      <c r="BB72" s="76" t="b">
        <v>1</v>
      </c>
      <c r="BC72" s="76" t="b">
        <v>1</v>
      </c>
      <c r="BD72" s="76" t="b">
        <v>0</v>
      </c>
      <c r="BE72" s="76" t="b">
        <v>1</v>
      </c>
      <c r="BF72" s="76" t="b">
        <v>0</v>
      </c>
      <c r="BG72" s="76" t="b">
        <v>0</v>
      </c>
      <c r="BH72" s="83" t="str">
        <f>HYPERLINK("https://pbs.twimg.com/profile_banners/992436837972103170/1560777778")</f>
        <v>https://pbs.twimg.com/profile_banners/992436837972103170/1560777778</v>
      </c>
      <c r="BI72" s="76"/>
      <c r="BJ72" s="76" t="s">
        <v>7245</v>
      </c>
      <c r="BK72" s="76" t="b">
        <v>0</v>
      </c>
      <c r="BL72" s="76"/>
      <c r="BM72" s="76" t="s">
        <v>66</v>
      </c>
      <c r="BN72" s="76" t="s">
        <v>7247</v>
      </c>
      <c r="BO72" s="83" t="str">
        <f>HYPERLINK("https://twitter.com/jonasrochareal")</f>
        <v>https://twitter.com/jonasrochareal</v>
      </c>
      <c r="BP72" s="2"/>
    </row>
    <row r="73" spans="1:68" x14ac:dyDescent="0.25">
      <c r="A73" s="62" t="s">
        <v>291</v>
      </c>
      <c r="B73" s="63"/>
      <c r="C73" s="63"/>
      <c r="D73" s="64"/>
      <c r="E73" s="66"/>
      <c r="F73" s="102" t="str">
        <f>HYPERLINK("https://pbs.twimg.com/profile_images/1577020692184301587/YW6XkdWF_normal.jpg")</f>
        <v>https://pbs.twimg.com/profile_images/1577020692184301587/YW6XkdWF_normal.jpg</v>
      </c>
      <c r="G73" s="63"/>
      <c r="H73" s="67"/>
      <c r="I73" s="68"/>
      <c r="J73" s="68"/>
      <c r="K73" s="67" t="s">
        <v>7317</v>
      </c>
      <c r="L73" s="71"/>
      <c r="M73" s="72"/>
      <c r="N73" s="72"/>
      <c r="O73" s="73"/>
      <c r="P73" s="74"/>
      <c r="Q73" s="74"/>
      <c r="R73" s="86"/>
      <c r="S73" s="86"/>
      <c r="T73" s="86"/>
      <c r="U73" s="86"/>
      <c r="V73" s="48"/>
      <c r="W73" s="48"/>
      <c r="X73" s="48"/>
      <c r="Y73" s="48"/>
      <c r="Z73" s="47"/>
      <c r="AA73" s="69">
        <v>73</v>
      </c>
      <c r="AB73" s="69"/>
      <c r="AC73" s="70"/>
      <c r="AD73" s="76" t="s">
        <v>6201</v>
      </c>
      <c r="AE73" s="81" t="s">
        <v>5902</v>
      </c>
      <c r="AF73" s="76">
        <v>19</v>
      </c>
      <c r="AG73" s="76">
        <v>0</v>
      </c>
      <c r="AH73" s="76">
        <v>483</v>
      </c>
      <c r="AI73" s="76">
        <v>0</v>
      </c>
      <c r="AJ73" s="76">
        <v>6</v>
      </c>
      <c r="AK73" s="76">
        <v>479</v>
      </c>
      <c r="AL73" s="76" t="b">
        <v>0</v>
      </c>
      <c r="AM73" s="78">
        <v>44054.259259259263</v>
      </c>
      <c r="AN73" s="76"/>
      <c r="AO73" s="76" t="s">
        <v>6736</v>
      </c>
      <c r="AP73" s="83" t="str">
        <f>HYPERLINK("https://t.co/nzu6PhKPfx")</f>
        <v>https://t.co/nzu6PhKPfx</v>
      </c>
      <c r="AQ73" s="83" t="str">
        <f>HYPERLINK("https://linktr.ee/studiomadehits")</f>
        <v>https://linktr.ee/studiomadehits</v>
      </c>
      <c r="AR73" s="76" t="s">
        <v>7044</v>
      </c>
      <c r="AS73" s="76"/>
      <c r="AT73" s="76"/>
      <c r="AU73" s="76"/>
      <c r="AV73" s="76"/>
      <c r="AW73" s="83" t="str">
        <f>HYPERLINK("https://t.co/nzu6PhKPfx")</f>
        <v>https://t.co/nzu6PhKPfx</v>
      </c>
      <c r="AX73" s="76" t="b">
        <v>0</v>
      </c>
      <c r="AY73" s="76"/>
      <c r="AZ73" s="76"/>
      <c r="BA73" s="76" t="b">
        <v>0</v>
      </c>
      <c r="BB73" s="76" t="b">
        <v>1</v>
      </c>
      <c r="BC73" s="76" t="b">
        <v>1</v>
      </c>
      <c r="BD73" s="76" t="b">
        <v>0</v>
      </c>
      <c r="BE73" s="76" t="b">
        <v>0</v>
      </c>
      <c r="BF73" s="76" t="b">
        <v>0</v>
      </c>
      <c r="BG73" s="76" t="b">
        <v>0</v>
      </c>
      <c r="BH73" s="83" t="str">
        <f>HYPERLINK("https://pbs.twimg.com/profile_banners/1293067913453338625/1664826009")</f>
        <v>https://pbs.twimg.com/profile_banners/1293067913453338625/1664826009</v>
      </c>
      <c r="BI73" s="76"/>
      <c r="BJ73" s="76" t="s">
        <v>7245</v>
      </c>
      <c r="BK73" s="76" t="b">
        <v>0</v>
      </c>
      <c r="BL73" s="76"/>
      <c r="BM73" s="76" t="s">
        <v>66</v>
      </c>
      <c r="BN73" s="76" t="s">
        <v>7247</v>
      </c>
      <c r="BO73" s="83" t="str">
        <f>HYPERLINK("https://twitter.com/made_hits")</f>
        <v>https://twitter.com/made_hits</v>
      </c>
      <c r="BP73" s="2"/>
    </row>
    <row r="74" spans="1:68" x14ac:dyDescent="0.25">
      <c r="A74" s="62" t="s">
        <v>292</v>
      </c>
      <c r="B74" s="63"/>
      <c r="C74" s="63"/>
      <c r="D74" s="64"/>
      <c r="E74" s="66"/>
      <c r="F74" s="102" t="str">
        <f>HYPERLINK("https://pbs.twimg.com/profile_images/1614724993304117249/6A-I7jbQ_normal.jpg")</f>
        <v>https://pbs.twimg.com/profile_images/1614724993304117249/6A-I7jbQ_normal.jpg</v>
      </c>
      <c r="G74" s="63"/>
      <c r="H74" s="67"/>
      <c r="I74" s="68"/>
      <c r="J74" s="68"/>
      <c r="K74" s="67" t="s">
        <v>7318</v>
      </c>
      <c r="L74" s="71"/>
      <c r="M74" s="72"/>
      <c r="N74" s="72"/>
      <c r="O74" s="73"/>
      <c r="P74" s="74"/>
      <c r="Q74" s="74"/>
      <c r="R74" s="86"/>
      <c r="S74" s="86"/>
      <c r="T74" s="86"/>
      <c r="U74" s="86"/>
      <c r="V74" s="48"/>
      <c r="W74" s="48"/>
      <c r="X74" s="48"/>
      <c r="Y74" s="48"/>
      <c r="Z74" s="47"/>
      <c r="AA74" s="69">
        <v>74</v>
      </c>
      <c r="AB74" s="69"/>
      <c r="AC74" s="70"/>
      <c r="AD74" s="76" t="s">
        <v>6202</v>
      </c>
      <c r="AE74" s="81" t="s">
        <v>6494</v>
      </c>
      <c r="AF74" s="76">
        <v>3402</v>
      </c>
      <c r="AG74" s="76">
        <v>3979</v>
      </c>
      <c r="AH74" s="76">
        <v>17496</v>
      </c>
      <c r="AI74" s="76">
        <v>19</v>
      </c>
      <c r="AJ74" s="76">
        <v>798</v>
      </c>
      <c r="AK74" s="76">
        <v>13036</v>
      </c>
      <c r="AL74" s="76" t="b">
        <v>0</v>
      </c>
      <c r="AM74" s="78">
        <v>42001.241944444446</v>
      </c>
      <c r="AN74" s="76" t="s">
        <v>6582</v>
      </c>
      <c r="AO74" s="76" t="s">
        <v>6737</v>
      </c>
      <c r="AP74" s="83" t="str">
        <f>HYPERLINK("https://t.co/U5xHClNaxQ")</f>
        <v>https://t.co/U5xHClNaxQ</v>
      </c>
      <c r="AQ74" s="83" t="str">
        <f>HYPERLINK("http://www.SacredAccount.com")</f>
        <v>http://www.SacredAccount.com</v>
      </c>
      <c r="AR74" s="76" t="s">
        <v>7045</v>
      </c>
      <c r="AS74" s="76"/>
      <c r="AT74" s="76"/>
      <c r="AU74" s="76"/>
      <c r="AV74" s="76"/>
      <c r="AW74" s="83" t="str">
        <f>HYPERLINK("https://t.co/U5xHClNaxQ")</f>
        <v>https://t.co/U5xHClNaxQ</v>
      </c>
      <c r="AX74" s="76" t="b">
        <v>0</v>
      </c>
      <c r="AY74" s="76"/>
      <c r="AZ74" s="76"/>
      <c r="BA74" s="76" t="b">
        <v>1</v>
      </c>
      <c r="BB74" s="76" t="b">
        <v>1</v>
      </c>
      <c r="BC74" s="76" t="b">
        <v>0</v>
      </c>
      <c r="BD74" s="76" t="b">
        <v>0</v>
      </c>
      <c r="BE74" s="76" t="b">
        <v>1</v>
      </c>
      <c r="BF74" s="76" t="b">
        <v>0</v>
      </c>
      <c r="BG74" s="76" t="b">
        <v>1</v>
      </c>
      <c r="BH74" s="83" t="str">
        <f>HYPERLINK("https://pbs.twimg.com/profile_banners/2945855064/1561158167")</f>
        <v>https://pbs.twimg.com/profile_banners/2945855064/1561158167</v>
      </c>
      <c r="BI74" s="76"/>
      <c r="BJ74" s="76" t="s">
        <v>7245</v>
      </c>
      <c r="BK74" s="76" t="b">
        <v>0</v>
      </c>
      <c r="BL74" s="76"/>
      <c r="BM74" s="76" t="s">
        <v>66</v>
      </c>
      <c r="BN74" s="76" t="s">
        <v>7247</v>
      </c>
      <c r="BO74" s="83" t="str">
        <f>HYPERLINK("https://twitter.com/jerryfetta")</f>
        <v>https://twitter.com/jerryfetta</v>
      </c>
      <c r="BP74" s="2"/>
    </row>
    <row r="75" spans="1:68" x14ac:dyDescent="0.25">
      <c r="A75" s="62" t="s">
        <v>293</v>
      </c>
      <c r="B75" s="63"/>
      <c r="C75" s="63"/>
      <c r="D75" s="64"/>
      <c r="E75" s="66"/>
      <c r="F75" s="102" t="str">
        <f>HYPERLINK("https://pbs.twimg.com/profile_images/1518751479728951297/_oNhLPt3_normal.jpg")</f>
        <v>https://pbs.twimg.com/profile_images/1518751479728951297/_oNhLPt3_normal.jpg</v>
      </c>
      <c r="G75" s="63"/>
      <c r="H75" s="67"/>
      <c r="I75" s="68"/>
      <c r="J75" s="68"/>
      <c r="K75" s="67" t="s">
        <v>7319</v>
      </c>
      <c r="L75" s="71"/>
      <c r="M75" s="72"/>
      <c r="N75" s="72"/>
      <c r="O75" s="73"/>
      <c r="P75" s="74"/>
      <c r="Q75" s="74"/>
      <c r="R75" s="86"/>
      <c r="S75" s="86"/>
      <c r="T75" s="86"/>
      <c r="U75" s="86"/>
      <c r="V75" s="48"/>
      <c r="W75" s="48"/>
      <c r="X75" s="48"/>
      <c r="Y75" s="48"/>
      <c r="Z75" s="47"/>
      <c r="AA75" s="69">
        <v>75</v>
      </c>
      <c r="AB75" s="69"/>
      <c r="AC75" s="70"/>
      <c r="AD75" s="76" t="s">
        <v>6203</v>
      </c>
      <c r="AE75" s="81" t="s">
        <v>5903</v>
      </c>
      <c r="AF75" s="76">
        <v>19</v>
      </c>
      <c r="AG75" s="76">
        <v>274</v>
      </c>
      <c r="AH75" s="76">
        <v>90</v>
      </c>
      <c r="AI75" s="76">
        <v>0</v>
      </c>
      <c r="AJ75" s="76">
        <v>101</v>
      </c>
      <c r="AK75" s="76">
        <v>87</v>
      </c>
      <c r="AL75" s="76" t="b">
        <v>0</v>
      </c>
      <c r="AM75" s="78">
        <v>43946.935636574075</v>
      </c>
      <c r="AN75" s="76"/>
      <c r="AO75" s="76" t="s">
        <v>6738</v>
      </c>
      <c r="AP75" s="76"/>
      <c r="AQ75" s="76"/>
      <c r="AR75" s="76"/>
      <c r="AS75" s="76"/>
      <c r="AT75" s="76"/>
      <c r="AU75" s="76"/>
      <c r="AV75" s="76"/>
      <c r="AW75" s="76"/>
      <c r="AX75" s="76" t="b">
        <v>0</v>
      </c>
      <c r="AY75" s="76"/>
      <c r="AZ75" s="76"/>
      <c r="BA75" s="76" t="b">
        <v>1</v>
      </c>
      <c r="BB75" s="76" t="b">
        <v>1</v>
      </c>
      <c r="BC75" s="76" t="b">
        <v>1</v>
      </c>
      <c r="BD75" s="76" t="b">
        <v>0</v>
      </c>
      <c r="BE75" s="76" t="b">
        <v>0</v>
      </c>
      <c r="BF75" s="76" t="b">
        <v>0</v>
      </c>
      <c r="BG75" s="76" t="b">
        <v>0</v>
      </c>
      <c r="BH75" s="83" t="str">
        <f>HYPERLINK("https://pbs.twimg.com/profile_banners/1254175068550311943/1650933555")</f>
        <v>https://pbs.twimg.com/profile_banners/1254175068550311943/1650933555</v>
      </c>
      <c r="BI75" s="76"/>
      <c r="BJ75" s="76" t="s">
        <v>7245</v>
      </c>
      <c r="BK75" s="76" t="b">
        <v>0</v>
      </c>
      <c r="BL75" s="76"/>
      <c r="BM75" s="76" t="s">
        <v>66</v>
      </c>
      <c r="BN75" s="76" t="s">
        <v>7247</v>
      </c>
      <c r="BO75" s="83" t="str">
        <f>HYPERLINK("https://twitter.com/herbstflavio")</f>
        <v>https://twitter.com/herbstflavio</v>
      </c>
      <c r="BP75" s="2"/>
    </row>
    <row r="76" spans="1:68" x14ac:dyDescent="0.25">
      <c r="A76" s="62" t="s">
        <v>294</v>
      </c>
      <c r="B76" s="63"/>
      <c r="C76" s="63"/>
      <c r="D76" s="64"/>
      <c r="E76" s="66"/>
      <c r="F76" s="102" t="str">
        <f>HYPERLINK("https://pbs.twimg.com/profile_images/1697182144110432256/sOpgCW5a_normal.jpg")</f>
        <v>https://pbs.twimg.com/profile_images/1697182144110432256/sOpgCW5a_normal.jpg</v>
      </c>
      <c r="G76" s="63"/>
      <c r="H76" s="67"/>
      <c r="I76" s="68"/>
      <c r="J76" s="68"/>
      <c r="K76" s="67" t="s">
        <v>7320</v>
      </c>
      <c r="L76" s="71"/>
      <c r="M76" s="72"/>
      <c r="N76" s="72"/>
      <c r="O76" s="73"/>
      <c r="P76" s="74"/>
      <c r="Q76" s="74"/>
      <c r="R76" s="86"/>
      <c r="S76" s="86"/>
      <c r="T76" s="86"/>
      <c r="U76" s="86"/>
      <c r="V76" s="48"/>
      <c r="W76" s="48"/>
      <c r="X76" s="48"/>
      <c r="Y76" s="48"/>
      <c r="Z76" s="47"/>
      <c r="AA76" s="69">
        <v>76</v>
      </c>
      <c r="AB76" s="69"/>
      <c r="AC76" s="70"/>
      <c r="AD76" s="76" t="s">
        <v>6204</v>
      </c>
      <c r="AE76" s="81" t="s">
        <v>6495</v>
      </c>
      <c r="AF76" s="76">
        <v>350</v>
      </c>
      <c r="AG76" s="76">
        <v>2274</v>
      </c>
      <c r="AH76" s="76">
        <v>6693</v>
      </c>
      <c r="AI76" s="76">
        <v>0</v>
      </c>
      <c r="AJ76" s="76">
        <v>6115</v>
      </c>
      <c r="AK76" s="76">
        <v>1636</v>
      </c>
      <c r="AL76" s="76" t="b">
        <v>0</v>
      </c>
      <c r="AM76" s="78">
        <v>40437.013749999998</v>
      </c>
      <c r="AN76" s="76" t="s">
        <v>6583</v>
      </c>
      <c r="AO76" s="76" t="s">
        <v>6739</v>
      </c>
      <c r="AP76" s="83" t="str">
        <f>HYPERLINK("https://t.co/VW8oVPqMSX")</f>
        <v>https://t.co/VW8oVPqMSX</v>
      </c>
      <c r="AQ76" s="83" t="str">
        <f>HYPERLINK("https://linktr.ee/wiskton")</f>
        <v>https://linktr.ee/wiskton</v>
      </c>
      <c r="AR76" s="76" t="s">
        <v>7046</v>
      </c>
      <c r="AS76" s="76"/>
      <c r="AT76" s="76"/>
      <c r="AU76" s="76"/>
      <c r="AV76" s="76">
        <v>1.6117939705891999E+18</v>
      </c>
      <c r="AW76" s="83" t="str">
        <f>HYPERLINK("https://t.co/VW8oVPqMSX")</f>
        <v>https://t.co/VW8oVPqMSX</v>
      </c>
      <c r="AX76" s="76" t="b">
        <v>0</v>
      </c>
      <c r="AY76" s="76"/>
      <c r="AZ76" s="76"/>
      <c r="BA76" s="76" t="b">
        <v>0</v>
      </c>
      <c r="BB76" s="76" t="b">
        <v>1</v>
      </c>
      <c r="BC76" s="76" t="b">
        <v>0</v>
      </c>
      <c r="BD76" s="76" t="b">
        <v>0</v>
      </c>
      <c r="BE76" s="76" t="b">
        <v>0</v>
      </c>
      <c r="BF76" s="76" t="b">
        <v>0</v>
      </c>
      <c r="BG76" s="76" t="b">
        <v>0</v>
      </c>
      <c r="BH76" s="83" t="str">
        <f>HYPERLINK("https://pbs.twimg.com/profile_banners/191255810/1667734555")</f>
        <v>https://pbs.twimg.com/profile_banners/191255810/1667734555</v>
      </c>
      <c r="BI76" s="76"/>
      <c r="BJ76" s="76" t="s">
        <v>7245</v>
      </c>
      <c r="BK76" s="76" t="b">
        <v>0</v>
      </c>
      <c r="BL76" s="76"/>
      <c r="BM76" s="76" t="s">
        <v>66</v>
      </c>
      <c r="BN76" s="76" t="s">
        <v>7247</v>
      </c>
      <c r="BO76" s="83" t="str">
        <f>HYPERLINK("https://twitter.com/wiskton")</f>
        <v>https://twitter.com/wiskton</v>
      </c>
      <c r="BP76" s="2"/>
    </row>
    <row r="77" spans="1:68" x14ac:dyDescent="0.25">
      <c r="A77" s="62" t="s">
        <v>295</v>
      </c>
      <c r="B77" s="63"/>
      <c r="C77" s="63"/>
      <c r="D77" s="64"/>
      <c r="E77" s="66"/>
      <c r="F77" s="102" t="str">
        <f>HYPERLINK("https://pbs.twimg.com/profile_images/1477817234873540609/wRcrE4mt_normal.jpg")</f>
        <v>https://pbs.twimg.com/profile_images/1477817234873540609/wRcrE4mt_normal.jpg</v>
      </c>
      <c r="G77" s="63"/>
      <c r="H77" s="67"/>
      <c r="I77" s="68"/>
      <c r="J77" s="68"/>
      <c r="K77" s="67" t="s">
        <v>7321</v>
      </c>
      <c r="L77" s="71"/>
      <c r="M77" s="72"/>
      <c r="N77" s="72"/>
      <c r="O77" s="73"/>
      <c r="P77" s="74"/>
      <c r="Q77" s="74"/>
      <c r="R77" s="86"/>
      <c r="S77" s="86"/>
      <c r="T77" s="86"/>
      <c r="U77" s="86"/>
      <c r="V77" s="48"/>
      <c r="W77" s="48"/>
      <c r="X77" s="48"/>
      <c r="Y77" s="48"/>
      <c r="Z77" s="47"/>
      <c r="AA77" s="69">
        <v>77</v>
      </c>
      <c r="AB77" s="69"/>
      <c r="AC77" s="70"/>
      <c r="AD77" s="76" t="s">
        <v>6205</v>
      </c>
      <c r="AE77" s="81" t="s">
        <v>5904</v>
      </c>
      <c r="AF77" s="76">
        <v>1026</v>
      </c>
      <c r="AG77" s="76">
        <v>448</v>
      </c>
      <c r="AH77" s="76">
        <v>501</v>
      </c>
      <c r="AI77" s="76">
        <v>5</v>
      </c>
      <c r="AJ77" s="76">
        <v>116</v>
      </c>
      <c r="AK77" s="76">
        <v>344</v>
      </c>
      <c r="AL77" s="76" t="b">
        <v>0</v>
      </c>
      <c r="AM77" s="78">
        <v>42862.907685185186</v>
      </c>
      <c r="AN77" s="76" t="s">
        <v>6584</v>
      </c>
      <c r="AO77" s="76" t="s">
        <v>6740</v>
      </c>
      <c r="AP77" s="83" t="str">
        <f>HYPERLINK("https://t.co/VdL3VaVsl5")</f>
        <v>https://t.co/VdL3VaVsl5</v>
      </c>
      <c r="AQ77" s="83" t="str">
        <f>HYPERLINK("https://linktr.ee/fernandokobuti")</f>
        <v>https://linktr.ee/fernandokobuti</v>
      </c>
      <c r="AR77" s="76" t="s">
        <v>7047</v>
      </c>
      <c r="AS77" s="76"/>
      <c r="AT77" s="76"/>
      <c r="AU77" s="76"/>
      <c r="AV77" s="76"/>
      <c r="AW77" s="83" t="str">
        <f>HYPERLINK("https://t.co/VdL3VaVsl5")</f>
        <v>https://t.co/VdL3VaVsl5</v>
      </c>
      <c r="AX77" s="76" t="b">
        <v>1</v>
      </c>
      <c r="AY77" s="76"/>
      <c r="AZ77" s="76"/>
      <c r="BA77" s="76" t="b">
        <v>1</v>
      </c>
      <c r="BB77" s="76" t="b">
        <v>1</v>
      </c>
      <c r="BC77" s="76" t="b">
        <v>1</v>
      </c>
      <c r="BD77" s="76" t="b">
        <v>0</v>
      </c>
      <c r="BE77" s="76" t="b">
        <v>1</v>
      </c>
      <c r="BF77" s="76" t="b">
        <v>0</v>
      </c>
      <c r="BG77" s="76" t="b">
        <v>0</v>
      </c>
      <c r="BH77" s="83" t="str">
        <f>HYPERLINK("https://pbs.twimg.com/profile_banners/861336605331795971/1641174350")</f>
        <v>https://pbs.twimg.com/profile_banners/861336605331795971/1641174350</v>
      </c>
      <c r="BI77" s="76"/>
      <c r="BJ77" s="76" t="s">
        <v>7245</v>
      </c>
      <c r="BK77" s="76" t="b">
        <v>0</v>
      </c>
      <c r="BL77" s="76"/>
      <c r="BM77" s="76" t="s">
        <v>66</v>
      </c>
      <c r="BN77" s="76" t="s">
        <v>7247</v>
      </c>
      <c r="BO77" s="83" t="str">
        <f>HYPERLINK("https://twitter.com/fernandokobuti")</f>
        <v>https://twitter.com/fernandokobuti</v>
      </c>
      <c r="BP77" s="2"/>
    </row>
    <row r="78" spans="1:68" x14ac:dyDescent="0.25">
      <c r="A78" s="62" t="s">
        <v>296</v>
      </c>
      <c r="B78" s="63"/>
      <c r="C78" s="63"/>
      <c r="D78" s="64"/>
      <c r="E78" s="66"/>
      <c r="F78" s="102" t="str">
        <f>HYPERLINK("https://pbs.twimg.com/profile_images/1627801468081258497/RWr4RAif_normal.png")</f>
        <v>https://pbs.twimg.com/profile_images/1627801468081258497/RWr4RAif_normal.png</v>
      </c>
      <c r="G78" s="63"/>
      <c r="H78" s="67"/>
      <c r="I78" s="68"/>
      <c r="J78" s="68"/>
      <c r="K78" s="67" t="s">
        <v>7322</v>
      </c>
      <c r="L78" s="71"/>
      <c r="M78" s="72"/>
      <c r="N78" s="72"/>
      <c r="O78" s="73"/>
      <c r="P78" s="74"/>
      <c r="Q78" s="74"/>
      <c r="R78" s="86"/>
      <c r="S78" s="86"/>
      <c r="T78" s="86"/>
      <c r="U78" s="86"/>
      <c r="V78" s="48"/>
      <c r="W78" s="48"/>
      <c r="X78" s="48"/>
      <c r="Y78" s="48"/>
      <c r="Z78" s="47"/>
      <c r="AA78" s="69">
        <v>78</v>
      </c>
      <c r="AB78" s="69"/>
      <c r="AC78" s="70"/>
      <c r="AD78" s="76" t="s">
        <v>6206</v>
      </c>
      <c r="AE78" s="81" t="s">
        <v>5905</v>
      </c>
      <c r="AF78" s="76">
        <v>2</v>
      </c>
      <c r="AG78" s="76">
        <v>19</v>
      </c>
      <c r="AH78" s="76">
        <v>91</v>
      </c>
      <c r="AI78" s="76">
        <v>0</v>
      </c>
      <c r="AJ78" s="76">
        <v>0</v>
      </c>
      <c r="AK78" s="76">
        <v>24</v>
      </c>
      <c r="AL78" s="76" t="b">
        <v>0</v>
      </c>
      <c r="AM78" s="78">
        <v>44977.947766203702</v>
      </c>
      <c r="AN78" s="76" t="s">
        <v>3752</v>
      </c>
      <c r="AO78" s="76" t="s">
        <v>6741</v>
      </c>
      <c r="AP78" s="83" t="str">
        <f>HYPERLINK("https://t.co/heLEFIX215")</f>
        <v>https://t.co/heLEFIX215</v>
      </c>
      <c r="AQ78" s="83" t="str">
        <f>HYPERLINK("https://jornaldigital360.com.br/")</f>
        <v>https://jornaldigital360.com.br/</v>
      </c>
      <c r="AR78" s="76" t="s">
        <v>7048</v>
      </c>
      <c r="AS78" s="76"/>
      <c r="AT78" s="76"/>
      <c r="AU78" s="76"/>
      <c r="AV78" s="76"/>
      <c r="AW78" s="83" t="str">
        <f>HYPERLINK("https://t.co/heLEFIX215")</f>
        <v>https://t.co/heLEFIX215</v>
      </c>
      <c r="AX78" s="76" t="b">
        <v>0</v>
      </c>
      <c r="AY78" s="76"/>
      <c r="AZ78" s="76"/>
      <c r="BA78" s="76" t="b">
        <v>0</v>
      </c>
      <c r="BB78" s="76" t="b">
        <v>1</v>
      </c>
      <c r="BC78" s="76" t="b">
        <v>1</v>
      </c>
      <c r="BD78" s="76" t="b">
        <v>0</v>
      </c>
      <c r="BE78" s="76" t="b">
        <v>0</v>
      </c>
      <c r="BF78" s="76" t="b">
        <v>0</v>
      </c>
      <c r="BG78" s="76" t="b">
        <v>0</v>
      </c>
      <c r="BH78" s="83" t="str">
        <f>HYPERLINK("https://pbs.twimg.com/profile_banners/1627801313814749192/1677200612")</f>
        <v>https://pbs.twimg.com/profile_banners/1627801313814749192/1677200612</v>
      </c>
      <c r="BI78" s="76"/>
      <c r="BJ78" s="76" t="s">
        <v>7245</v>
      </c>
      <c r="BK78" s="76" t="b">
        <v>0</v>
      </c>
      <c r="BL78" s="76"/>
      <c r="BM78" s="76" t="s">
        <v>66</v>
      </c>
      <c r="BN78" s="76" t="s">
        <v>7247</v>
      </c>
      <c r="BO78" s="83" t="str">
        <f>HYPERLINK("https://twitter.com/newsdigital360")</f>
        <v>https://twitter.com/newsdigital360</v>
      </c>
      <c r="BP78" s="2"/>
    </row>
    <row r="79" spans="1:68" x14ac:dyDescent="0.25">
      <c r="A79" s="62" t="s">
        <v>297</v>
      </c>
      <c r="B79" s="63"/>
      <c r="C79" s="63"/>
      <c r="D79" s="64"/>
      <c r="E79" s="66"/>
      <c r="F79" s="102" t="str">
        <f>HYPERLINK("https://pbs.twimg.com/profile_images/1609946191667646478/L0amO-g7_normal.jpg")</f>
        <v>https://pbs.twimg.com/profile_images/1609946191667646478/L0amO-g7_normal.jpg</v>
      </c>
      <c r="G79" s="63"/>
      <c r="H79" s="67"/>
      <c r="I79" s="68"/>
      <c r="J79" s="68"/>
      <c r="K79" s="67" t="s">
        <v>7323</v>
      </c>
      <c r="L79" s="71"/>
      <c r="M79" s="72"/>
      <c r="N79" s="72"/>
      <c r="O79" s="73"/>
      <c r="P79" s="74"/>
      <c r="Q79" s="74"/>
      <c r="R79" s="86"/>
      <c r="S79" s="86"/>
      <c r="T79" s="86"/>
      <c r="U79" s="86"/>
      <c r="V79" s="48"/>
      <c r="W79" s="48"/>
      <c r="X79" s="48"/>
      <c r="Y79" s="48"/>
      <c r="Z79" s="47"/>
      <c r="AA79" s="69">
        <v>79</v>
      </c>
      <c r="AB79" s="69"/>
      <c r="AC79" s="70"/>
      <c r="AD79" s="76" t="s">
        <v>6207</v>
      </c>
      <c r="AE79" s="81" t="s">
        <v>5906</v>
      </c>
      <c r="AF79" s="76">
        <v>524</v>
      </c>
      <c r="AG79" s="76">
        <v>670</v>
      </c>
      <c r="AH79" s="76">
        <v>166</v>
      </c>
      <c r="AI79" s="76">
        <v>4</v>
      </c>
      <c r="AJ79" s="76">
        <v>152</v>
      </c>
      <c r="AK79" s="76">
        <v>14</v>
      </c>
      <c r="AL79" s="76" t="b">
        <v>0</v>
      </c>
      <c r="AM79" s="78">
        <v>43590.367962962962</v>
      </c>
      <c r="AN79" s="76" t="s">
        <v>6585</v>
      </c>
      <c r="AO79" s="76" t="s">
        <v>6742</v>
      </c>
      <c r="AP79" s="76"/>
      <c r="AQ79" s="76"/>
      <c r="AR79" s="76"/>
      <c r="AS79" s="76" t="s">
        <v>7204</v>
      </c>
      <c r="AT79" s="76" t="s">
        <v>7211</v>
      </c>
      <c r="AU79" s="76" t="s">
        <v>7223</v>
      </c>
      <c r="AV79" s="76"/>
      <c r="AW79" s="76"/>
      <c r="AX79" s="76" t="b">
        <v>0</v>
      </c>
      <c r="AY79" s="76"/>
      <c r="AZ79" s="76"/>
      <c r="BA79" s="76" t="b">
        <v>1</v>
      </c>
      <c r="BB79" s="76" t="b">
        <v>0</v>
      </c>
      <c r="BC79" s="76" t="b">
        <v>1</v>
      </c>
      <c r="BD79" s="76" t="b">
        <v>0</v>
      </c>
      <c r="BE79" s="76" t="b">
        <v>0</v>
      </c>
      <c r="BF79" s="76" t="b">
        <v>0</v>
      </c>
      <c r="BG79" s="76" t="b">
        <v>0</v>
      </c>
      <c r="BH79" s="76"/>
      <c r="BI79" s="76"/>
      <c r="BJ79" s="76" t="s">
        <v>7245</v>
      </c>
      <c r="BK79" s="76" t="b">
        <v>0</v>
      </c>
      <c r="BL79" s="76"/>
      <c r="BM79" s="76" t="s">
        <v>66</v>
      </c>
      <c r="BN79" s="76" t="s">
        <v>7247</v>
      </c>
      <c r="BO79" s="83" t="str">
        <f>HYPERLINK("https://twitter.com/vagnercutrim")</f>
        <v>https://twitter.com/vagnercutrim</v>
      </c>
      <c r="BP79" s="2"/>
    </row>
    <row r="80" spans="1:68" x14ac:dyDescent="0.25">
      <c r="A80" s="62" t="s">
        <v>298</v>
      </c>
      <c r="B80" s="63"/>
      <c r="C80" s="63"/>
      <c r="D80" s="64"/>
      <c r="E80" s="66"/>
      <c r="F80" s="102" t="str">
        <f>HYPERLINK("https://pbs.twimg.com/profile_images/1702126245541007360/z-Bm0BzI_normal.jpg")</f>
        <v>https://pbs.twimg.com/profile_images/1702126245541007360/z-Bm0BzI_normal.jpg</v>
      </c>
      <c r="G80" s="63"/>
      <c r="H80" s="67"/>
      <c r="I80" s="68"/>
      <c r="J80" s="68"/>
      <c r="K80" s="67" t="s">
        <v>7324</v>
      </c>
      <c r="L80" s="71"/>
      <c r="M80" s="72"/>
      <c r="N80" s="72"/>
      <c r="O80" s="73"/>
      <c r="P80" s="74"/>
      <c r="Q80" s="74"/>
      <c r="R80" s="86"/>
      <c r="S80" s="86"/>
      <c r="T80" s="86"/>
      <c r="U80" s="86"/>
      <c r="V80" s="48"/>
      <c r="W80" s="48"/>
      <c r="X80" s="48"/>
      <c r="Y80" s="48"/>
      <c r="Z80" s="47"/>
      <c r="AA80" s="69">
        <v>80</v>
      </c>
      <c r="AB80" s="69"/>
      <c r="AC80" s="70"/>
      <c r="AD80" s="76" t="s">
        <v>6208</v>
      </c>
      <c r="AE80" s="81" t="s">
        <v>5907</v>
      </c>
      <c r="AF80" s="76">
        <v>1</v>
      </c>
      <c r="AG80" s="76">
        <v>0</v>
      </c>
      <c r="AH80" s="76">
        <v>117</v>
      </c>
      <c r="AI80" s="76">
        <v>0</v>
      </c>
      <c r="AJ80" s="76">
        <v>0</v>
      </c>
      <c r="AK80" s="76">
        <v>117</v>
      </c>
      <c r="AL80" s="76" t="b">
        <v>0</v>
      </c>
      <c r="AM80" s="78">
        <v>44944.277465277781</v>
      </c>
      <c r="AN80" s="76"/>
      <c r="AO80" s="76" t="s">
        <v>6743</v>
      </c>
      <c r="AP80" s="76"/>
      <c r="AQ80" s="76"/>
      <c r="AR80" s="76"/>
      <c r="AS80" s="76"/>
      <c r="AT80" s="76"/>
      <c r="AU80" s="76"/>
      <c r="AV80" s="76">
        <v>1.68835358677266E+18</v>
      </c>
      <c r="AW80" s="76"/>
      <c r="AX80" s="76" t="b">
        <v>0</v>
      </c>
      <c r="AY80" s="76"/>
      <c r="AZ80" s="76"/>
      <c r="BA80" s="76" t="b">
        <v>0</v>
      </c>
      <c r="BB80" s="76" t="b">
        <v>1</v>
      </c>
      <c r="BC80" s="76" t="b">
        <v>1</v>
      </c>
      <c r="BD80" s="76" t="b">
        <v>0</v>
      </c>
      <c r="BE80" s="76" t="b">
        <v>0</v>
      </c>
      <c r="BF80" s="76" t="b">
        <v>0</v>
      </c>
      <c r="BG80" s="76" t="b">
        <v>0</v>
      </c>
      <c r="BH80" s="76"/>
      <c r="BI80" s="76"/>
      <c r="BJ80" s="76" t="s">
        <v>7245</v>
      </c>
      <c r="BK80" s="76" t="b">
        <v>0</v>
      </c>
      <c r="BL80" s="76"/>
      <c r="BM80" s="76" t="s">
        <v>66</v>
      </c>
      <c r="BN80" s="76" t="s">
        <v>7247</v>
      </c>
      <c r="BO80" s="83" t="str">
        <f>HYPERLINK("https://twitter.com/rv_rafaelvieira")</f>
        <v>https://twitter.com/rv_rafaelvieira</v>
      </c>
      <c r="BP80" s="2"/>
    </row>
    <row r="81" spans="1:68" x14ac:dyDescent="0.25">
      <c r="A81" s="62" t="s">
        <v>299</v>
      </c>
      <c r="B81" s="63"/>
      <c r="C81" s="63"/>
      <c r="D81" s="64"/>
      <c r="E81" s="66"/>
      <c r="F81" s="102" t="str">
        <f>HYPERLINK("https://pbs.twimg.com/profile_images/1636055213202128896/90wMZmyy_normal.jpg")</f>
        <v>https://pbs.twimg.com/profile_images/1636055213202128896/90wMZmyy_normal.jpg</v>
      </c>
      <c r="G81" s="63"/>
      <c r="H81" s="67"/>
      <c r="I81" s="68"/>
      <c r="J81" s="68"/>
      <c r="K81" s="67" t="s">
        <v>7325</v>
      </c>
      <c r="L81" s="71"/>
      <c r="M81" s="72"/>
      <c r="N81" s="72"/>
      <c r="O81" s="73"/>
      <c r="P81" s="74"/>
      <c r="Q81" s="74"/>
      <c r="R81" s="86"/>
      <c r="S81" s="86"/>
      <c r="T81" s="86"/>
      <c r="U81" s="86"/>
      <c r="V81" s="48"/>
      <c r="W81" s="48"/>
      <c r="X81" s="48"/>
      <c r="Y81" s="48"/>
      <c r="Z81" s="47"/>
      <c r="AA81" s="69">
        <v>81</v>
      </c>
      <c r="AB81" s="69"/>
      <c r="AC81" s="70"/>
      <c r="AD81" s="76" t="s">
        <v>6209</v>
      </c>
      <c r="AE81" s="81" t="s">
        <v>5908</v>
      </c>
      <c r="AF81" s="76">
        <v>1024</v>
      </c>
      <c r="AG81" s="76">
        <v>159</v>
      </c>
      <c r="AH81" s="76">
        <v>2533</v>
      </c>
      <c r="AI81" s="76">
        <v>0</v>
      </c>
      <c r="AJ81" s="76">
        <v>1829</v>
      </c>
      <c r="AK81" s="76">
        <v>134</v>
      </c>
      <c r="AL81" s="76" t="b">
        <v>0</v>
      </c>
      <c r="AM81" s="78">
        <v>44989.439328703702</v>
      </c>
      <c r="AN81" s="76" t="s">
        <v>6586</v>
      </c>
      <c r="AO81" s="76" t="s">
        <v>6744</v>
      </c>
      <c r="AP81" s="83" t="str">
        <f>HYPERLINK("https://t.co/zFhrYJOiVJ")</f>
        <v>https://t.co/zFhrYJOiVJ</v>
      </c>
      <c r="AQ81" s="83" t="str">
        <f>HYPERLINK("https://realt.co/ref/investimento/")</f>
        <v>https://realt.co/ref/investimento/</v>
      </c>
      <c r="AR81" s="76" t="s">
        <v>7049</v>
      </c>
      <c r="AS81" s="76"/>
      <c r="AT81" s="76"/>
      <c r="AU81" s="76"/>
      <c r="AV81" s="76">
        <v>1.70382822963795E+18</v>
      </c>
      <c r="AW81" s="83" t="str">
        <f>HYPERLINK("https://t.co/zFhrYJOiVJ")</f>
        <v>https://t.co/zFhrYJOiVJ</v>
      </c>
      <c r="AX81" s="76" t="b">
        <v>1</v>
      </c>
      <c r="AY81" s="76"/>
      <c r="AZ81" s="76"/>
      <c r="BA81" s="76" t="b">
        <v>1</v>
      </c>
      <c r="BB81" s="76" t="b">
        <v>1</v>
      </c>
      <c r="BC81" s="76" t="b">
        <v>1</v>
      </c>
      <c r="BD81" s="76" t="b">
        <v>0</v>
      </c>
      <c r="BE81" s="76" t="b">
        <v>1</v>
      </c>
      <c r="BF81" s="76" t="b">
        <v>0</v>
      </c>
      <c r="BG81" s="76" t="b">
        <v>0</v>
      </c>
      <c r="BH81" s="83" t="str">
        <f>HYPERLINK("https://pbs.twimg.com/profile_banners/1631965834410164224/1692613824")</f>
        <v>https://pbs.twimg.com/profile_banners/1631965834410164224/1692613824</v>
      </c>
      <c r="BI81" s="76"/>
      <c r="BJ81" s="76" t="s">
        <v>7245</v>
      </c>
      <c r="BK81" s="76" t="b">
        <v>0</v>
      </c>
      <c r="BL81" s="76"/>
      <c r="BM81" s="76" t="s">
        <v>66</v>
      </c>
      <c r="BN81" s="76" t="s">
        <v>7247</v>
      </c>
      <c r="BO81" s="83" t="str">
        <f>HYPERLINK("https://twitter.com/nunocostaswiss")</f>
        <v>https://twitter.com/nunocostaswiss</v>
      </c>
      <c r="BP81" s="2"/>
    </row>
    <row r="82" spans="1:68" x14ac:dyDescent="0.25">
      <c r="A82" s="62" t="s">
        <v>300</v>
      </c>
      <c r="B82" s="63"/>
      <c r="C82" s="63"/>
      <c r="D82" s="64"/>
      <c r="E82" s="66"/>
      <c r="F82" s="102" t="str">
        <f>HYPERLINK("https://pbs.twimg.com/profile_images/1633677369318817792/znpjaDrE_normal.jpg")</f>
        <v>https://pbs.twimg.com/profile_images/1633677369318817792/znpjaDrE_normal.jpg</v>
      </c>
      <c r="G82" s="63"/>
      <c r="H82" s="67"/>
      <c r="I82" s="68"/>
      <c r="J82" s="68"/>
      <c r="K82" s="67" t="s">
        <v>7326</v>
      </c>
      <c r="L82" s="71"/>
      <c r="M82" s="72"/>
      <c r="N82" s="72"/>
      <c r="O82" s="73"/>
      <c r="P82" s="74"/>
      <c r="Q82" s="74"/>
      <c r="R82" s="86"/>
      <c r="S82" s="86"/>
      <c r="T82" s="86"/>
      <c r="U82" s="86"/>
      <c r="V82" s="48"/>
      <c r="W82" s="48"/>
      <c r="X82" s="48"/>
      <c r="Y82" s="48"/>
      <c r="Z82" s="47"/>
      <c r="AA82" s="69">
        <v>82</v>
      </c>
      <c r="AB82" s="69"/>
      <c r="AC82" s="70"/>
      <c r="AD82" s="76" t="s">
        <v>6210</v>
      </c>
      <c r="AE82" s="81" t="s">
        <v>5909</v>
      </c>
      <c r="AF82" s="76">
        <v>0</v>
      </c>
      <c r="AG82" s="76">
        <v>19</v>
      </c>
      <c r="AH82" s="76">
        <v>94</v>
      </c>
      <c r="AI82" s="76">
        <v>0</v>
      </c>
      <c r="AJ82" s="76">
        <v>0</v>
      </c>
      <c r="AK82" s="76">
        <v>9</v>
      </c>
      <c r="AL82" s="76" t="b">
        <v>0</v>
      </c>
      <c r="AM82" s="78">
        <v>44990.613125000003</v>
      </c>
      <c r="AN82" s="76" t="s">
        <v>3763</v>
      </c>
      <c r="AO82" s="76" t="s">
        <v>6745</v>
      </c>
      <c r="AP82" s="76"/>
      <c r="AQ82" s="76"/>
      <c r="AR82" s="76"/>
      <c r="AS82" s="76"/>
      <c r="AT82" s="76"/>
      <c r="AU82" s="76"/>
      <c r="AV82" s="76"/>
      <c r="AW82" s="76"/>
      <c r="AX82" s="76" t="b">
        <v>0</v>
      </c>
      <c r="AY82" s="76"/>
      <c r="AZ82" s="76"/>
      <c r="BA82" s="76" t="b">
        <v>1</v>
      </c>
      <c r="BB82" s="76" t="b">
        <v>1</v>
      </c>
      <c r="BC82" s="76" t="b">
        <v>1</v>
      </c>
      <c r="BD82" s="76" t="b">
        <v>0</v>
      </c>
      <c r="BE82" s="76" t="b">
        <v>1</v>
      </c>
      <c r="BF82" s="76" t="b">
        <v>0</v>
      </c>
      <c r="BG82" s="76" t="b">
        <v>0</v>
      </c>
      <c r="BH82" s="76"/>
      <c r="BI82" s="76"/>
      <c r="BJ82" s="76" t="s">
        <v>7245</v>
      </c>
      <c r="BK82" s="76" t="b">
        <v>0</v>
      </c>
      <c r="BL82" s="76"/>
      <c r="BM82" s="76" t="s">
        <v>66</v>
      </c>
      <c r="BN82" s="76" t="s">
        <v>7247</v>
      </c>
      <c r="BO82" s="83" t="str">
        <f>HYPERLINK("https://twitter.com/ilha_invest")</f>
        <v>https://twitter.com/ilha_invest</v>
      </c>
      <c r="BP82" s="2"/>
    </row>
    <row r="83" spans="1:68" x14ac:dyDescent="0.25">
      <c r="A83" s="62" t="s">
        <v>301</v>
      </c>
      <c r="B83" s="63"/>
      <c r="C83" s="63"/>
      <c r="D83" s="64"/>
      <c r="E83" s="66"/>
      <c r="F83" s="102" t="str">
        <f>HYPERLINK("https://pbs.twimg.com/profile_images/1584509275631656962/RUnUXbUY_normal.jpg")</f>
        <v>https://pbs.twimg.com/profile_images/1584509275631656962/RUnUXbUY_normal.jpg</v>
      </c>
      <c r="G83" s="63"/>
      <c r="H83" s="67"/>
      <c r="I83" s="68"/>
      <c r="J83" s="68"/>
      <c r="K83" s="67" t="s">
        <v>7327</v>
      </c>
      <c r="L83" s="71"/>
      <c r="M83" s="72"/>
      <c r="N83" s="72"/>
      <c r="O83" s="73"/>
      <c r="P83" s="74"/>
      <c r="Q83" s="74"/>
      <c r="R83" s="86"/>
      <c r="S83" s="86"/>
      <c r="T83" s="86"/>
      <c r="U83" s="86"/>
      <c r="V83" s="48"/>
      <c r="W83" s="48"/>
      <c r="X83" s="48"/>
      <c r="Y83" s="48"/>
      <c r="Z83" s="47"/>
      <c r="AA83" s="69">
        <v>83</v>
      </c>
      <c r="AB83" s="69"/>
      <c r="AC83" s="70"/>
      <c r="AD83" s="76" t="s">
        <v>6211</v>
      </c>
      <c r="AE83" s="81" t="s">
        <v>6496</v>
      </c>
      <c r="AF83" s="76">
        <v>240</v>
      </c>
      <c r="AG83" s="76">
        <v>67</v>
      </c>
      <c r="AH83" s="76">
        <v>693</v>
      </c>
      <c r="AI83" s="76">
        <v>0</v>
      </c>
      <c r="AJ83" s="76">
        <v>192</v>
      </c>
      <c r="AK83" s="76">
        <v>130</v>
      </c>
      <c r="AL83" s="76" t="b">
        <v>0</v>
      </c>
      <c r="AM83" s="78">
        <v>39942.442025462966</v>
      </c>
      <c r="AN83" s="76" t="s">
        <v>6587</v>
      </c>
      <c r="AO83" s="83" t="str">
        <f>HYPERLINK("https://t.co/x12jpA3cfp")</f>
        <v>https://t.co/x12jpA3cfp</v>
      </c>
      <c r="AP83" s="76"/>
      <c r="AQ83" s="76"/>
      <c r="AR83" s="76"/>
      <c r="AS83" s="83" t="str">
        <f>HYPERLINK("https://t.co/x12jpA3cfp")</f>
        <v>https://t.co/x12jpA3cfp</v>
      </c>
      <c r="AT83" s="83" t="str">
        <f>HYPERLINK("http://hiltonvieira.medium.com")</f>
        <v>http://hiltonvieira.medium.com</v>
      </c>
      <c r="AU83" s="76" t="s">
        <v>7224</v>
      </c>
      <c r="AV83" s="76"/>
      <c r="AW83" s="76"/>
      <c r="AX83" s="76" t="b">
        <v>0</v>
      </c>
      <c r="AY83" s="76"/>
      <c r="AZ83" s="76"/>
      <c r="BA83" s="76" t="b">
        <v>0</v>
      </c>
      <c r="BB83" s="76" t="b">
        <v>0</v>
      </c>
      <c r="BC83" s="76" t="b">
        <v>0</v>
      </c>
      <c r="BD83" s="76" t="b">
        <v>0</v>
      </c>
      <c r="BE83" s="76" t="b">
        <v>0</v>
      </c>
      <c r="BF83" s="76" t="b">
        <v>0</v>
      </c>
      <c r="BG83" s="76" t="b">
        <v>0</v>
      </c>
      <c r="BH83" s="83" t="str">
        <f>HYPERLINK("https://pbs.twimg.com/profile_banners/38833158/1666611428")</f>
        <v>https://pbs.twimg.com/profile_banners/38833158/1666611428</v>
      </c>
      <c r="BI83" s="76"/>
      <c r="BJ83" s="76" t="s">
        <v>7245</v>
      </c>
      <c r="BK83" s="76" t="b">
        <v>0</v>
      </c>
      <c r="BL83" s="76"/>
      <c r="BM83" s="76" t="s">
        <v>66</v>
      </c>
      <c r="BN83" s="76" t="s">
        <v>7247</v>
      </c>
      <c r="BO83" s="83" t="str">
        <f>HYPERLINK("https://twitter.com/hilvieira")</f>
        <v>https://twitter.com/hilvieira</v>
      </c>
      <c r="BP83" s="2"/>
    </row>
    <row r="84" spans="1:68" x14ac:dyDescent="0.25">
      <c r="A84" s="62" t="s">
        <v>302</v>
      </c>
      <c r="B84" s="63"/>
      <c r="C84" s="63"/>
      <c r="D84" s="64"/>
      <c r="E84" s="66"/>
      <c r="F84" s="102" t="str">
        <f>HYPERLINK("https://pbs.twimg.com/profile_images/1667934670296686595/5BQxCgYW_normal.jpg")</f>
        <v>https://pbs.twimg.com/profile_images/1667934670296686595/5BQxCgYW_normal.jpg</v>
      </c>
      <c r="G84" s="63"/>
      <c r="H84" s="67"/>
      <c r="I84" s="68"/>
      <c r="J84" s="68"/>
      <c r="K84" s="67" t="s">
        <v>7328</v>
      </c>
      <c r="L84" s="71"/>
      <c r="M84" s="72"/>
      <c r="N84" s="72"/>
      <c r="O84" s="73"/>
      <c r="P84" s="74"/>
      <c r="Q84" s="74"/>
      <c r="R84" s="86"/>
      <c r="S84" s="86"/>
      <c r="T84" s="86"/>
      <c r="U84" s="86"/>
      <c r="V84" s="48"/>
      <c r="W84" s="48"/>
      <c r="X84" s="48"/>
      <c r="Y84" s="48"/>
      <c r="Z84" s="47"/>
      <c r="AA84" s="69">
        <v>84</v>
      </c>
      <c r="AB84" s="69"/>
      <c r="AC84" s="70"/>
      <c r="AD84" s="76" t="s">
        <v>6212</v>
      </c>
      <c r="AE84" s="81" t="s">
        <v>5910</v>
      </c>
      <c r="AF84" s="76">
        <v>9</v>
      </c>
      <c r="AG84" s="76">
        <v>76</v>
      </c>
      <c r="AH84" s="76">
        <v>135</v>
      </c>
      <c r="AI84" s="76">
        <v>0</v>
      </c>
      <c r="AJ84" s="76">
        <v>62</v>
      </c>
      <c r="AK84" s="76">
        <v>15</v>
      </c>
      <c r="AL84" s="76" t="b">
        <v>0</v>
      </c>
      <c r="AM84" s="78">
        <v>43652.984965277778</v>
      </c>
      <c r="AN84" s="76" t="s">
        <v>6588</v>
      </c>
      <c r="AO84" s="76" t="s">
        <v>6746</v>
      </c>
      <c r="AP84" s="83" t="str">
        <f>HYPERLINK("https://t.co/B9QNYzwyJR")</f>
        <v>https://t.co/B9QNYzwyJR</v>
      </c>
      <c r="AQ84" s="83" t="str">
        <f>HYPERLINK("https://instagram.com/cyanpersonal")</f>
        <v>https://instagram.com/cyanpersonal</v>
      </c>
      <c r="AR84" s="76" t="s">
        <v>7050</v>
      </c>
      <c r="AS84" s="76"/>
      <c r="AT84" s="76"/>
      <c r="AU84" s="76"/>
      <c r="AV84" s="76">
        <v>1.41395277602398E+18</v>
      </c>
      <c r="AW84" s="83" t="str">
        <f>HYPERLINK("https://t.co/B9QNYzwyJR")</f>
        <v>https://t.co/B9QNYzwyJR</v>
      </c>
      <c r="AX84" s="76" t="b">
        <v>0</v>
      </c>
      <c r="AY84" s="76"/>
      <c r="AZ84" s="76"/>
      <c r="BA84" s="76" t="b">
        <v>0</v>
      </c>
      <c r="BB84" s="76" t="b">
        <v>1</v>
      </c>
      <c r="BC84" s="76" t="b">
        <v>1</v>
      </c>
      <c r="BD84" s="76" t="b">
        <v>0</v>
      </c>
      <c r="BE84" s="76" t="b">
        <v>0</v>
      </c>
      <c r="BF84" s="76" t="b">
        <v>0</v>
      </c>
      <c r="BG84" s="76" t="b">
        <v>0</v>
      </c>
      <c r="BH84" s="83" t="str">
        <f>HYPERLINK("https://pbs.twimg.com/profile_banners/1147651023030411265/1651170677")</f>
        <v>https://pbs.twimg.com/profile_banners/1147651023030411265/1651170677</v>
      </c>
      <c r="BI84" s="76"/>
      <c r="BJ84" s="76" t="s">
        <v>7245</v>
      </c>
      <c r="BK84" s="76" t="b">
        <v>0</v>
      </c>
      <c r="BL84" s="76"/>
      <c r="BM84" s="76" t="s">
        <v>66</v>
      </c>
      <c r="BN84" s="76" t="s">
        <v>7247</v>
      </c>
      <c r="BO84" s="83" t="str">
        <f>HYPERLINK("https://twitter.com/cyaned92")</f>
        <v>https://twitter.com/cyaned92</v>
      </c>
      <c r="BP84" s="2"/>
    </row>
    <row r="85" spans="1:68" x14ac:dyDescent="0.25">
      <c r="A85" s="62" t="s">
        <v>303</v>
      </c>
      <c r="B85" s="63"/>
      <c r="C85" s="63"/>
      <c r="D85" s="64"/>
      <c r="E85" s="66"/>
      <c r="F85" s="102" t="str">
        <f>HYPERLINK("https://pbs.twimg.com/profile_images/1545740776197464065/h7cWg9XI_normal.jpg")</f>
        <v>https://pbs.twimg.com/profile_images/1545740776197464065/h7cWg9XI_normal.jpg</v>
      </c>
      <c r="G85" s="63"/>
      <c r="H85" s="67"/>
      <c r="I85" s="68"/>
      <c r="J85" s="68"/>
      <c r="K85" s="67" t="s">
        <v>7329</v>
      </c>
      <c r="L85" s="71"/>
      <c r="M85" s="72"/>
      <c r="N85" s="72"/>
      <c r="O85" s="73"/>
      <c r="P85" s="74"/>
      <c r="Q85" s="74"/>
      <c r="R85" s="86"/>
      <c r="S85" s="86"/>
      <c r="T85" s="86"/>
      <c r="U85" s="86"/>
      <c r="V85" s="48"/>
      <c r="W85" s="48"/>
      <c r="X85" s="48"/>
      <c r="Y85" s="48"/>
      <c r="Z85" s="47"/>
      <c r="AA85" s="69">
        <v>85</v>
      </c>
      <c r="AB85" s="69"/>
      <c r="AC85" s="70"/>
      <c r="AD85" s="76" t="s">
        <v>6213</v>
      </c>
      <c r="AE85" s="81" t="s">
        <v>5911</v>
      </c>
      <c r="AF85" s="76">
        <v>7</v>
      </c>
      <c r="AG85" s="76">
        <v>56</v>
      </c>
      <c r="AH85" s="76">
        <v>104</v>
      </c>
      <c r="AI85" s="76">
        <v>0</v>
      </c>
      <c r="AJ85" s="76">
        <v>6</v>
      </c>
      <c r="AK85" s="76">
        <v>101</v>
      </c>
      <c r="AL85" s="76" t="b">
        <v>0</v>
      </c>
      <c r="AM85" s="78">
        <v>44751.501493055555</v>
      </c>
      <c r="AN85" s="76"/>
      <c r="AO85" s="76" t="s">
        <v>6747</v>
      </c>
      <c r="AP85" s="76"/>
      <c r="AQ85" s="76"/>
      <c r="AR85" s="76"/>
      <c r="AS85" s="76"/>
      <c r="AT85" s="76"/>
      <c r="AU85" s="76"/>
      <c r="AV85" s="76"/>
      <c r="AW85" s="76"/>
      <c r="AX85" s="76" t="b">
        <v>0</v>
      </c>
      <c r="AY85" s="76"/>
      <c r="AZ85" s="76"/>
      <c r="BA85" s="76" t="b">
        <v>0</v>
      </c>
      <c r="BB85" s="76" t="b">
        <v>1</v>
      </c>
      <c r="BC85" s="76" t="b">
        <v>1</v>
      </c>
      <c r="BD85" s="76" t="b">
        <v>0</v>
      </c>
      <c r="BE85" s="76" t="b">
        <v>0</v>
      </c>
      <c r="BF85" s="76" t="b">
        <v>0</v>
      </c>
      <c r="BG85" s="76" t="b">
        <v>0</v>
      </c>
      <c r="BH85" s="76"/>
      <c r="BI85" s="76"/>
      <c r="BJ85" s="76" t="s">
        <v>7245</v>
      </c>
      <c r="BK85" s="76" t="b">
        <v>0</v>
      </c>
      <c r="BL85" s="76"/>
      <c r="BM85" s="76" t="s">
        <v>66</v>
      </c>
      <c r="BN85" s="76" t="s">
        <v>7247</v>
      </c>
      <c r="BO85" s="83" t="str">
        <f>HYPERLINK("https://twitter.com/alexempreender")</f>
        <v>https://twitter.com/alexempreender</v>
      </c>
      <c r="BP85" s="2"/>
    </row>
    <row r="86" spans="1:68" x14ac:dyDescent="0.25">
      <c r="A86" s="62" t="s">
        <v>304</v>
      </c>
      <c r="B86" s="63"/>
      <c r="C86" s="63"/>
      <c r="D86" s="64"/>
      <c r="E86" s="66"/>
      <c r="F86" s="102" t="str">
        <f>HYPERLINK("https://pbs.twimg.com/profile_images/1486668905716359169/_StpPob5_normal.jpg")</f>
        <v>https://pbs.twimg.com/profile_images/1486668905716359169/_StpPob5_normal.jpg</v>
      </c>
      <c r="G86" s="63"/>
      <c r="H86" s="67"/>
      <c r="I86" s="68"/>
      <c r="J86" s="68"/>
      <c r="K86" s="67" t="s">
        <v>7330</v>
      </c>
      <c r="L86" s="71"/>
      <c r="M86" s="72"/>
      <c r="N86" s="72"/>
      <c r="O86" s="73"/>
      <c r="P86" s="74"/>
      <c r="Q86" s="74"/>
      <c r="R86" s="86"/>
      <c r="S86" s="86"/>
      <c r="T86" s="86"/>
      <c r="U86" s="86"/>
      <c r="V86" s="48"/>
      <c r="W86" s="48"/>
      <c r="X86" s="48"/>
      <c r="Y86" s="48"/>
      <c r="Z86" s="47"/>
      <c r="AA86" s="69">
        <v>86</v>
      </c>
      <c r="AB86" s="69"/>
      <c r="AC86" s="70"/>
      <c r="AD86" s="76" t="s">
        <v>6214</v>
      </c>
      <c r="AE86" s="81" t="s">
        <v>6497</v>
      </c>
      <c r="AF86" s="76">
        <v>11989</v>
      </c>
      <c r="AG86" s="76">
        <v>6</v>
      </c>
      <c r="AH86" s="76">
        <v>5565</v>
      </c>
      <c r="AI86" s="76">
        <v>22</v>
      </c>
      <c r="AJ86" s="76">
        <v>543</v>
      </c>
      <c r="AK86" s="76">
        <v>967</v>
      </c>
      <c r="AL86" s="76" t="b">
        <v>0</v>
      </c>
      <c r="AM86" s="78">
        <v>40744.640335648146</v>
      </c>
      <c r="AN86" s="76"/>
      <c r="AO86" s="76" t="s">
        <v>6748</v>
      </c>
      <c r="AP86" s="83" t="str">
        <f>HYPERLINK("https://t.co/4vTzfMX91y")</f>
        <v>https://t.co/4vTzfMX91y</v>
      </c>
      <c r="AQ86" s="83" t="str">
        <f>HYPERLINK("https://linktr.ee/helio.couto")</f>
        <v>https://linktr.ee/helio.couto</v>
      </c>
      <c r="AR86" s="76" t="s">
        <v>7051</v>
      </c>
      <c r="AS86" s="76"/>
      <c r="AT86" s="76"/>
      <c r="AU86" s="76"/>
      <c r="AV86" s="76">
        <v>1.6146496077822799E+18</v>
      </c>
      <c r="AW86" s="83" t="str">
        <f>HYPERLINK("https://t.co/4vTzfMX91y")</f>
        <v>https://t.co/4vTzfMX91y</v>
      </c>
      <c r="AX86" s="76" t="b">
        <v>0</v>
      </c>
      <c r="AY86" s="76"/>
      <c r="AZ86" s="76"/>
      <c r="BA86" s="76" t="b">
        <v>0</v>
      </c>
      <c r="BB86" s="76" t="b">
        <v>1</v>
      </c>
      <c r="BC86" s="76" t="b">
        <v>0</v>
      </c>
      <c r="BD86" s="76" t="b">
        <v>0</v>
      </c>
      <c r="BE86" s="76" t="b">
        <v>1</v>
      </c>
      <c r="BF86" s="76" t="b">
        <v>0</v>
      </c>
      <c r="BG86" s="76" t="b">
        <v>0</v>
      </c>
      <c r="BH86" s="83" t="str">
        <f>HYPERLINK("https://pbs.twimg.com/profile_banners/339081837/1643284336")</f>
        <v>https://pbs.twimg.com/profile_banners/339081837/1643284336</v>
      </c>
      <c r="BI86" s="76"/>
      <c r="BJ86" s="76" t="s">
        <v>7245</v>
      </c>
      <c r="BK86" s="76" t="b">
        <v>0</v>
      </c>
      <c r="BL86" s="76"/>
      <c r="BM86" s="76" t="s">
        <v>66</v>
      </c>
      <c r="BN86" s="76" t="s">
        <v>7247</v>
      </c>
      <c r="BO86" s="83" t="str">
        <f>HYPERLINK("https://twitter.com/helio_couto")</f>
        <v>https://twitter.com/helio_couto</v>
      </c>
      <c r="BP86" s="2"/>
    </row>
    <row r="87" spans="1:68" x14ac:dyDescent="0.25">
      <c r="A87" s="62" t="s">
        <v>305</v>
      </c>
      <c r="B87" s="63"/>
      <c r="C87" s="63"/>
      <c r="D87" s="64"/>
      <c r="E87" s="66"/>
      <c r="F87" s="102" t="str">
        <f>HYPERLINK("https://pbs.twimg.com/profile_images/1632325316768145408/nt6F2o4Z_normal.jpg")</f>
        <v>https://pbs.twimg.com/profile_images/1632325316768145408/nt6F2o4Z_normal.jpg</v>
      </c>
      <c r="G87" s="63"/>
      <c r="H87" s="67"/>
      <c r="I87" s="68"/>
      <c r="J87" s="68"/>
      <c r="K87" s="67" t="s">
        <v>7331</v>
      </c>
      <c r="L87" s="71"/>
      <c r="M87" s="72"/>
      <c r="N87" s="72"/>
      <c r="O87" s="73"/>
      <c r="P87" s="74"/>
      <c r="Q87" s="74"/>
      <c r="R87" s="86"/>
      <c r="S87" s="86"/>
      <c r="T87" s="86"/>
      <c r="U87" s="86"/>
      <c r="V87" s="48"/>
      <c r="W87" s="48"/>
      <c r="X87" s="48"/>
      <c r="Y87" s="48"/>
      <c r="Z87" s="47"/>
      <c r="AA87" s="69">
        <v>87</v>
      </c>
      <c r="AB87" s="69"/>
      <c r="AC87" s="70"/>
      <c r="AD87" s="76" t="s">
        <v>6215</v>
      </c>
      <c r="AE87" s="81" t="s">
        <v>5912</v>
      </c>
      <c r="AF87" s="76">
        <v>4</v>
      </c>
      <c r="AG87" s="76">
        <v>159</v>
      </c>
      <c r="AH87" s="76">
        <v>102</v>
      </c>
      <c r="AI87" s="76">
        <v>0</v>
      </c>
      <c r="AJ87" s="76">
        <v>2568</v>
      </c>
      <c r="AK87" s="76">
        <v>6</v>
      </c>
      <c r="AL87" s="76" t="b">
        <v>0</v>
      </c>
      <c r="AM87" s="78">
        <v>44491.823761574073</v>
      </c>
      <c r="AN87" s="76"/>
      <c r="AO87" s="76" t="s">
        <v>6749</v>
      </c>
      <c r="AP87" s="83" t="str">
        <f>HYPERLINK("https://t.co/cfzfLaVEop")</f>
        <v>https://t.co/cfzfLaVEop</v>
      </c>
      <c r="AQ87" s="83" t="str">
        <f>HYPERLINK("https://odysee.com/@contab_invest:c")</f>
        <v>https://odysee.com/@contab_invest:c</v>
      </c>
      <c r="AR87" s="76" t="s">
        <v>7052</v>
      </c>
      <c r="AS87" s="76"/>
      <c r="AT87" s="76"/>
      <c r="AU87" s="76"/>
      <c r="AV87" s="76"/>
      <c r="AW87" s="83" t="str">
        <f>HYPERLINK("https://t.co/cfzfLaVEop")</f>
        <v>https://t.co/cfzfLaVEop</v>
      </c>
      <c r="AX87" s="76" t="b">
        <v>0</v>
      </c>
      <c r="AY87" s="76"/>
      <c r="AZ87" s="76"/>
      <c r="BA87" s="76" t="b">
        <v>0</v>
      </c>
      <c r="BB87" s="76" t="b">
        <v>1</v>
      </c>
      <c r="BC87" s="76" t="b">
        <v>1</v>
      </c>
      <c r="BD87" s="76" t="b">
        <v>0</v>
      </c>
      <c r="BE87" s="76" t="b">
        <v>1</v>
      </c>
      <c r="BF87" s="76" t="b">
        <v>0</v>
      </c>
      <c r="BG87" s="76" t="b">
        <v>0</v>
      </c>
      <c r="BH87" s="83" t="str">
        <f>HYPERLINK("https://pbs.twimg.com/profile_banners/1451635932172533764/1670100719")</f>
        <v>https://pbs.twimg.com/profile_banners/1451635932172533764/1670100719</v>
      </c>
      <c r="BI87" s="76"/>
      <c r="BJ87" s="76" t="s">
        <v>7245</v>
      </c>
      <c r="BK87" s="76" t="b">
        <v>0</v>
      </c>
      <c r="BL87" s="76"/>
      <c r="BM87" s="76" t="s">
        <v>66</v>
      </c>
      <c r="BN87" s="76" t="s">
        <v>7247</v>
      </c>
      <c r="BO87" s="83" t="str">
        <f>HYPERLINK("https://twitter.com/axcrestfall")</f>
        <v>https://twitter.com/axcrestfall</v>
      </c>
      <c r="BP87" s="2"/>
    </row>
    <row r="88" spans="1:68" x14ac:dyDescent="0.25">
      <c r="A88" s="62" t="s">
        <v>306</v>
      </c>
      <c r="B88" s="63"/>
      <c r="C88" s="63"/>
      <c r="D88" s="64"/>
      <c r="E88" s="66"/>
      <c r="F88" s="102" t="str">
        <f>HYPERLINK("https://pbs.twimg.com/profile_images/1659635333988773889/s2NJOas0_normal.jpg")</f>
        <v>https://pbs.twimg.com/profile_images/1659635333988773889/s2NJOas0_normal.jpg</v>
      </c>
      <c r="G88" s="63"/>
      <c r="H88" s="67"/>
      <c r="I88" s="68"/>
      <c r="J88" s="68"/>
      <c r="K88" s="67" t="s">
        <v>7332</v>
      </c>
      <c r="L88" s="71"/>
      <c r="M88" s="72"/>
      <c r="N88" s="72"/>
      <c r="O88" s="73"/>
      <c r="P88" s="74"/>
      <c r="Q88" s="74"/>
      <c r="R88" s="86"/>
      <c r="S88" s="86"/>
      <c r="T88" s="86"/>
      <c r="U88" s="86"/>
      <c r="V88" s="48"/>
      <c r="W88" s="48"/>
      <c r="X88" s="48"/>
      <c r="Y88" s="48"/>
      <c r="Z88" s="47"/>
      <c r="AA88" s="69">
        <v>88</v>
      </c>
      <c r="AB88" s="69"/>
      <c r="AC88" s="70"/>
      <c r="AD88" s="76" t="s">
        <v>6216</v>
      </c>
      <c r="AE88" s="81" t="s">
        <v>5913</v>
      </c>
      <c r="AF88" s="76">
        <v>10</v>
      </c>
      <c r="AG88" s="76">
        <v>2</v>
      </c>
      <c r="AH88" s="76">
        <v>46</v>
      </c>
      <c r="AI88" s="76">
        <v>0</v>
      </c>
      <c r="AJ88" s="76">
        <v>0</v>
      </c>
      <c r="AK88" s="76">
        <v>46</v>
      </c>
      <c r="AL88" s="76" t="b">
        <v>0</v>
      </c>
      <c r="AM88" s="78">
        <v>45065.790567129632</v>
      </c>
      <c r="AN88" s="76" t="s">
        <v>6589</v>
      </c>
      <c r="AO88" s="76" t="s">
        <v>6750</v>
      </c>
      <c r="AP88" s="83" t="str">
        <f>HYPERLINK("https://t.co/Jl7OUUlVzw")</f>
        <v>https://t.co/Jl7OUUlVzw</v>
      </c>
      <c r="AQ88" s="83" t="str">
        <f>HYPERLINK("https://www.lux.capital/")</f>
        <v>https://www.lux.capital/</v>
      </c>
      <c r="AR88" s="76" t="s">
        <v>7053</v>
      </c>
      <c r="AS88" s="76"/>
      <c r="AT88" s="76"/>
      <c r="AU88" s="76"/>
      <c r="AV88" s="76"/>
      <c r="AW88" s="83" t="str">
        <f>HYPERLINK("https://t.co/Jl7OUUlVzw")</f>
        <v>https://t.co/Jl7OUUlVzw</v>
      </c>
      <c r="AX88" s="76" t="b">
        <v>0</v>
      </c>
      <c r="AY88" s="76"/>
      <c r="AZ88" s="76"/>
      <c r="BA88" s="76" t="b">
        <v>0</v>
      </c>
      <c r="BB88" s="76" t="b">
        <v>1</v>
      </c>
      <c r="BC88" s="76" t="b">
        <v>1</v>
      </c>
      <c r="BD88" s="76" t="b">
        <v>0</v>
      </c>
      <c r="BE88" s="76" t="b">
        <v>0</v>
      </c>
      <c r="BF88" s="76" t="b">
        <v>0</v>
      </c>
      <c r="BG88" s="76" t="b">
        <v>0</v>
      </c>
      <c r="BH88" s="83" t="str">
        <f>HYPERLINK("https://pbs.twimg.com/profile_banners/1659634238411493377/1684523599")</f>
        <v>https://pbs.twimg.com/profile_banners/1659634238411493377/1684523599</v>
      </c>
      <c r="BI88" s="76"/>
      <c r="BJ88" s="76" t="s">
        <v>7245</v>
      </c>
      <c r="BK88" s="76" t="b">
        <v>0</v>
      </c>
      <c r="BL88" s="76"/>
      <c r="BM88" s="76" t="s">
        <v>66</v>
      </c>
      <c r="BN88" s="76" t="s">
        <v>7247</v>
      </c>
      <c r="BO88" s="83" t="str">
        <f>HYPERLINK("https://twitter.com/luxcapital_")</f>
        <v>https://twitter.com/luxcapital_</v>
      </c>
      <c r="BP88" s="2"/>
    </row>
    <row r="89" spans="1:68" x14ac:dyDescent="0.25">
      <c r="A89" s="62" t="s">
        <v>307</v>
      </c>
      <c r="B89" s="63"/>
      <c r="C89" s="63"/>
      <c r="D89" s="64"/>
      <c r="E89" s="66"/>
      <c r="F89" s="102" t="str">
        <f>HYPERLINK("https://pbs.twimg.com/profile_images/1671154645237129218/N34VV8BJ_normal.jpg")</f>
        <v>https://pbs.twimg.com/profile_images/1671154645237129218/N34VV8BJ_normal.jpg</v>
      </c>
      <c r="G89" s="63"/>
      <c r="H89" s="67"/>
      <c r="I89" s="68"/>
      <c r="J89" s="68"/>
      <c r="K89" s="67" t="s">
        <v>7333</v>
      </c>
      <c r="L89" s="71"/>
      <c r="M89" s="72"/>
      <c r="N89" s="72"/>
      <c r="O89" s="73"/>
      <c r="P89" s="74"/>
      <c r="Q89" s="74"/>
      <c r="R89" s="86"/>
      <c r="S89" s="86"/>
      <c r="T89" s="86"/>
      <c r="U89" s="86"/>
      <c r="V89" s="48"/>
      <c r="W89" s="48"/>
      <c r="X89" s="48"/>
      <c r="Y89" s="48"/>
      <c r="Z89" s="47"/>
      <c r="AA89" s="69">
        <v>89</v>
      </c>
      <c r="AB89" s="69"/>
      <c r="AC89" s="70"/>
      <c r="AD89" s="76" t="s">
        <v>6217</v>
      </c>
      <c r="AE89" s="81" t="s">
        <v>5914</v>
      </c>
      <c r="AF89" s="76">
        <v>0</v>
      </c>
      <c r="AG89" s="76">
        <v>28</v>
      </c>
      <c r="AH89" s="76">
        <v>91</v>
      </c>
      <c r="AI89" s="76">
        <v>0</v>
      </c>
      <c r="AJ89" s="76">
        <v>52</v>
      </c>
      <c r="AK89" s="76">
        <v>9</v>
      </c>
      <c r="AL89" s="76" t="b">
        <v>0</v>
      </c>
      <c r="AM89" s="78">
        <v>45021.937951388885</v>
      </c>
      <c r="AN89" s="76" t="s">
        <v>6590</v>
      </c>
      <c r="AO89" s="76" t="s">
        <v>6751</v>
      </c>
      <c r="AP89" s="76"/>
      <c r="AQ89" s="76"/>
      <c r="AR89" s="76"/>
      <c r="AS89" s="76"/>
      <c r="AT89" s="76"/>
      <c r="AU89" s="76"/>
      <c r="AV89" s="76"/>
      <c r="AW89" s="76"/>
      <c r="AX89" s="76" t="b">
        <v>0</v>
      </c>
      <c r="AY89" s="76"/>
      <c r="AZ89" s="76"/>
      <c r="BA89" s="76" t="b">
        <v>0</v>
      </c>
      <c r="BB89" s="76" t="b">
        <v>1</v>
      </c>
      <c r="BC89" s="76" t="b">
        <v>1</v>
      </c>
      <c r="BD89" s="76" t="b">
        <v>0</v>
      </c>
      <c r="BE89" s="76" t="b">
        <v>0</v>
      </c>
      <c r="BF89" s="76" t="b">
        <v>0</v>
      </c>
      <c r="BG89" s="76" t="b">
        <v>0</v>
      </c>
      <c r="BH89" s="83" t="str">
        <f>HYPERLINK("https://pbs.twimg.com/profile_banners/1643742903603195904/1687269302")</f>
        <v>https://pbs.twimg.com/profile_banners/1643742903603195904/1687269302</v>
      </c>
      <c r="BI89" s="76"/>
      <c r="BJ89" s="76" t="s">
        <v>7245</v>
      </c>
      <c r="BK89" s="76" t="b">
        <v>0</v>
      </c>
      <c r="BL89" s="76"/>
      <c r="BM89" s="76" t="s">
        <v>66</v>
      </c>
      <c r="BN89" s="76" t="s">
        <v>7247</v>
      </c>
      <c r="BO89" s="83" t="str">
        <f>HYPERLINK("https://twitter.com/silvatiago87295")</f>
        <v>https://twitter.com/silvatiago87295</v>
      </c>
      <c r="BP89" s="2"/>
    </row>
    <row r="90" spans="1:68" x14ac:dyDescent="0.25">
      <c r="A90" s="62" t="s">
        <v>308</v>
      </c>
      <c r="B90" s="63"/>
      <c r="C90" s="63"/>
      <c r="D90" s="64"/>
      <c r="E90" s="66"/>
      <c r="F90" s="102" t="str">
        <f>HYPERLINK("https://pbs.twimg.com/profile_images/1648454707604770821/vx9TGaN-_normal.jpg")</f>
        <v>https://pbs.twimg.com/profile_images/1648454707604770821/vx9TGaN-_normal.jpg</v>
      </c>
      <c r="G90" s="63"/>
      <c r="H90" s="67"/>
      <c r="I90" s="68"/>
      <c r="J90" s="68"/>
      <c r="K90" s="67" t="s">
        <v>7334</v>
      </c>
      <c r="L90" s="71"/>
      <c r="M90" s="72"/>
      <c r="N90" s="72"/>
      <c r="O90" s="73"/>
      <c r="P90" s="74"/>
      <c r="Q90" s="74"/>
      <c r="R90" s="86"/>
      <c r="S90" s="86"/>
      <c r="T90" s="86"/>
      <c r="U90" s="86"/>
      <c r="V90" s="48"/>
      <c r="W90" s="48"/>
      <c r="X90" s="48"/>
      <c r="Y90" s="48"/>
      <c r="Z90" s="47"/>
      <c r="AA90" s="69">
        <v>90</v>
      </c>
      <c r="AB90" s="69"/>
      <c r="AC90" s="70"/>
      <c r="AD90" s="76" t="s">
        <v>6218</v>
      </c>
      <c r="AE90" s="81" t="s">
        <v>5915</v>
      </c>
      <c r="AF90" s="76">
        <v>0</v>
      </c>
      <c r="AG90" s="76">
        <v>56</v>
      </c>
      <c r="AH90" s="76">
        <v>9</v>
      </c>
      <c r="AI90" s="76">
        <v>0</v>
      </c>
      <c r="AJ90" s="76">
        <v>3</v>
      </c>
      <c r="AK90" s="76">
        <v>6</v>
      </c>
      <c r="AL90" s="76" t="b">
        <v>0</v>
      </c>
      <c r="AM90" s="78">
        <v>45034.939849537041</v>
      </c>
      <c r="AN90" s="76" t="s">
        <v>3794</v>
      </c>
      <c r="AO90" s="76" t="s">
        <v>6752</v>
      </c>
      <c r="AP90" s="76"/>
      <c r="AQ90" s="76"/>
      <c r="AR90" s="76"/>
      <c r="AS90" s="83" t="str">
        <f>HYPERLINK("https://t.co/jd7PTUus0V")</f>
        <v>https://t.co/jd7PTUus0V</v>
      </c>
      <c r="AT90" s="83" t="str">
        <f>HYPERLINK("https://t.me/mlkada_invest")</f>
        <v>https://t.me/mlkada_invest</v>
      </c>
      <c r="AU90" s="76" t="s">
        <v>7225</v>
      </c>
      <c r="AV90" s="76"/>
      <c r="AW90" s="76"/>
      <c r="AX90" s="76" t="b">
        <v>0</v>
      </c>
      <c r="AY90" s="76"/>
      <c r="AZ90" s="76"/>
      <c r="BA90" s="76" t="b">
        <v>0</v>
      </c>
      <c r="BB90" s="76" t="b">
        <v>1</v>
      </c>
      <c r="BC90" s="76" t="b">
        <v>1</v>
      </c>
      <c r="BD90" s="76" t="b">
        <v>0</v>
      </c>
      <c r="BE90" s="76" t="b">
        <v>0</v>
      </c>
      <c r="BF90" s="76" t="b">
        <v>0</v>
      </c>
      <c r="BG90" s="76" t="b">
        <v>0</v>
      </c>
      <c r="BH90" s="83" t="str">
        <f>HYPERLINK("https://pbs.twimg.com/profile_banners/1648454373796900865/1681858655")</f>
        <v>https://pbs.twimg.com/profile_banners/1648454373796900865/1681858655</v>
      </c>
      <c r="BI90" s="76"/>
      <c r="BJ90" s="76" t="s">
        <v>7245</v>
      </c>
      <c r="BK90" s="76" t="b">
        <v>0</v>
      </c>
      <c r="BL90" s="76"/>
      <c r="BM90" s="76" t="s">
        <v>66</v>
      </c>
      <c r="BN90" s="76" t="s">
        <v>7247</v>
      </c>
      <c r="BO90" s="83" t="str">
        <f>HYPERLINK("https://twitter.com/mlkada_invest")</f>
        <v>https://twitter.com/mlkada_invest</v>
      </c>
      <c r="BP90" s="2"/>
    </row>
    <row r="91" spans="1:68" x14ac:dyDescent="0.25">
      <c r="A91" s="62" t="s">
        <v>309</v>
      </c>
      <c r="B91" s="63"/>
      <c r="C91" s="63"/>
      <c r="D91" s="64"/>
      <c r="E91" s="66"/>
      <c r="F91" s="102" t="str">
        <f>HYPERLINK("https://pbs.twimg.com/profile_images/1519398150926127104/s46q4moV_normal.jpg")</f>
        <v>https://pbs.twimg.com/profile_images/1519398150926127104/s46q4moV_normal.jpg</v>
      </c>
      <c r="G91" s="63"/>
      <c r="H91" s="67"/>
      <c r="I91" s="68"/>
      <c r="J91" s="68"/>
      <c r="K91" s="67" t="s">
        <v>7335</v>
      </c>
      <c r="L91" s="71"/>
      <c r="M91" s="72"/>
      <c r="N91" s="72"/>
      <c r="O91" s="73"/>
      <c r="P91" s="74"/>
      <c r="Q91" s="74"/>
      <c r="R91" s="86"/>
      <c r="S91" s="86"/>
      <c r="T91" s="86"/>
      <c r="U91" s="86"/>
      <c r="V91" s="48"/>
      <c r="W91" s="48"/>
      <c r="X91" s="48"/>
      <c r="Y91" s="48"/>
      <c r="Z91" s="47"/>
      <c r="AA91" s="69">
        <v>91</v>
      </c>
      <c r="AB91" s="69"/>
      <c r="AC91" s="70"/>
      <c r="AD91" s="76" t="s">
        <v>6219</v>
      </c>
      <c r="AE91" s="81" t="s">
        <v>5916</v>
      </c>
      <c r="AF91" s="76">
        <v>11740</v>
      </c>
      <c r="AG91" s="76">
        <v>77</v>
      </c>
      <c r="AH91" s="76">
        <v>1727</v>
      </c>
      <c r="AI91" s="76">
        <v>28</v>
      </c>
      <c r="AJ91" s="76">
        <v>6361</v>
      </c>
      <c r="AK91" s="76">
        <v>221</v>
      </c>
      <c r="AL91" s="76" t="b">
        <v>0</v>
      </c>
      <c r="AM91" s="78">
        <v>44624.085277777776</v>
      </c>
      <c r="AN91" s="76"/>
      <c r="AO91" s="76" t="s">
        <v>6753</v>
      </c>
      <c r="AP91" s="83" t="str">
        <f>HYPERLINK("https://t.co/5QcEVlOR1G")</f>
        <v>https://t.co/5QcEVlOR1G</v>
      </c>
      <c r="AQ91" s="83" t="str">
        <f>HYPERLINK("https://www.instagram.com/misescpitalista/")</f>
        <v>https://www.instagram.com/misescpitalista/</v>
      </c>
      <c r="AR91" s="76" t="s">
        <v>7054</v>
      </c>
      <c r="AS91" s="76"/>
      <c r="AT91" s="76"/>
      <c r="AU91" s="76"/>
      <c r="AV91" s="76">
        <v>1.5194439826605499E+18</v>
      </c>
      <c r="AW91" s="83" t="str">
        <f>HYPERLINK("https://t.co/5QcEVlOR1G")</f>
        <v>https://t.co/5QcEVlOR1G</v>
      </c>
      <c r="AX91" s="76" t="b">
        <v>0</v>
      </c>
      <c r="AY91" s="76"/>
      <c r="AZ91" s="76"/>
      <c r="BA91" s="76" t="b">
        <v>1</v>
      </c>
      <c r="BB91" s="76" t="b">
        <v>1</v>
      </c>
      <c r="BC91" s="76" t="b">
        <v>1</v>
      </c>
      <c r="BD91" s="76" t="b">
        <v>0</v>
      </c>
      <c r="BE91" s="76" t="b">
        <v>0</v>
      </c>
      <c r="BF91" s="76" t="b">
        <v>0</v>
      </c>
      <c r="BG91" s="76" t="b">
        <v>0</v>
      </c>
      <c r="BH91" s="83" t="str">
        <f>HYPERLINK("https://pbs.twimg.com/profile_banners/1499565778051469316/1651087892")</f>
        <v>https://pbs.twimg.com/profile_banners/1499565778051469316/1651087892</v>
      </c>
      <c r="BI91" s="76"/>
      <c r="BJ91" s="76" t="s">
        <v>7245</v>
      </c>
      <c r="BK91" s="76" t="b">
        <v>0</v>
      </c>
      <c r="BL91" s="76"/>
      <c r="BM91" s="76" t="s">
        <v>66</v>
      </c>
      <c r="BN91" s="76" t="s">
        <v>7247</v>
      </c>
      <c r="BO91" s="83" t="str">
        <f>HYPERLINK("https://twitter.com/misescpitalista")</f>
        <v>https://twitter.com/misescpitalista</v>
      </c>
      <c r="BP91" s="2"/>
    </row>
    <row r="92" spans="1:68" x14ac:dyDescent="0.25">
      <c r="A92" s="62" t="s">
        <v>310</v>
      </c>
      <c r="B92" s="63"/>
      <c r="C92" s="63"/>
      <c r="D92" s="64"/>
      <c r="E92" s="66"/>
      <c r="F92" s="102" t="str">
        <f>HYPERLINK("https://pbs.twimg.com/profile_images/1613231005661290503/jfcuhY1Y_normal.jpg")</f>
        <v>https://pbs.twimg.com/profile_images/1613231005661290503/jfcuhY1Y_normal.jpg</v>
      </c>
      <c r="G92" s="63"/>
      <c r="H92" s="67"/>
      <c r="I92" s="68"/>
      <c r="J92" s="68"/>
      <c r="K92" s="67" t="s">
        <v>7336</v>
      </c>
      <c r="L92" s="71"/>
      <c r="M92" s="72"/>
      <c r="N92" s="72"/>
      <c r="O92" s="73"/>
      <c r="P92" s="74"/>
      <c r="Q92" s="74"/>
      <c r="R92" s="86"/>
      <c r="S92" s="86"/>
      <c r="T92" s="86"/>
      <c r="U92" s="86"/>
      <c r="V92" s="48"/>
      <c r="W92" s="48"/>
      <c r="X92" s="48"/>
      <c r="Y92" s="48"/>
      <c r="Z92" s="47"/>
      <c r="AA92" s="69">
        <v>92</v>
      </c>
      <c r="AB92" s="69"/>
      <c r="AC92" s="70"/>
      <c r="AD92" s="76" t="s">
        <v>6220</v>
      </c>
      <c r="AE92" s="81" t="s">
        <v>6498</v>
      </c>
      <c r="AF92" s="76">
        <v>2970</v>
      </c>
      <c r="AG92" s="76">
        <v>2105</v>
      </c>
      <c r="AH92" s="76">
        <v>20334</v>
      </c>
      <c r="AI92" s="76">
        <v>0</v>
      </c>
      <c r="AJ92" s="76">
        <v>16792</v>
      </c>
      <c r="AK92" s="76">
        <v>1558</v>
      </c>
      <c r="AL92" s="76" t="b">
        <v>0</v>
      </c>
      <c r="AM92" s="78">
        <v>39945.507303240738</v>
      </c>
      <c r="AN92" s="76" t="s">
        <v>6591</v>
      </c>
      <c r="AO92" s="76" t="s">
        <v>6754</v>
      </c>
      <c r="AP92" s="83" t="str">
        <f>HYPERLINK("https://t.co/dFO2It7pl4")</f>
        <v>https://t.co/dFO2It7pl4</v>
      </c>
      <c r="AQ92" s="83" t="str">
        <f>HYPERLINK("http://www.instagram.com/pravdacore")</f>
        <v>http://www.instagram.com/pravdacore</v>
      </c>
      <c r="AR92" s="76" t="s">
        <v>7055</v>
      </c>
      <c r="AS92" s="76"/>
      <c r="AT92" s="76"/>
      <c r="AU92" s="76"/>
      <c r="AV92" s="76">
        <v>1.50750163002718E+18</v>
      </c>
      <c r="AW92" s="83" t="str">
        <f>HYPERLINK("https://t.co/dFO2It7pl4")</f>
        <v>https://t.co/dFO2It7pl4</v>
      </c>
      <c r="AX92" s="76" t="b">
        <v>0</v>
      </c>
      <c r="AY92" s="76"/>
      <c r="AZ92" s="76"/>
      <c r="BA92" s="76" t="b">
        <v>0</v>
      </c>
      <c r="BB92" s="76" t="b">
        <v>0</v>
      </c>
      <c r="BC92" s="76" t="b">
        <v>0</v>
      </c>
      <c r="BD92" s="76" t="b">
        <v>0</v>
      </c>
      <c r="BE92" s="76" t="b">
        <v>1</v>
      </c>
      <c r="BF92" s="76" t="b">
        <v>0</v>
      </c>
      <c r="BG92" s="76" t="b">
        <v>0</v>
      </c>
      <c r="BH92" s="83" t="str">
        <f>HYPERLINK("https://pbs.twimg.com/profile_banners/39485204/1445854174")</f>
        <v>https://pbs.twimg.com/profile_banners/39485204/1445854174</v>
      </c>
      <c r="BI92" s="76"/>
      <c r="BJ92" s="76" t="s">
        <v>7245</v>
      </c>
      <c r="BK92" s="76" t="b">
        <v>0</v>
      </c>
      <c r="BL92" s="76"/>
      <c r="BM92" s="76" t="s">
        <v>66</v>
      </c>
      <c r="BN92" s="76" t="s">
        <v>7247</v>
      </c>
      <c r="BO92" s="83" t="str">
        <f>HYPERLINK("https://twitter.com/deborahtelles")</f>
        <v>https://twitter.com/deborahtelles</v>
      </c>
      <c r="BP92" s="2"/>
    </row>
    <row r="93" spans="1:68" x14ac:dyDescent="0.25">
      <c r="A93" s="62" t="s">
        <v>311</v>
      </c>
      <c r="B93" s="63"/>
      <c r="C93" s="63"/>
      <c r="D93" s="64"/>
      <c r="E93" s="66"/>
      <c r="F93" s="102" t="str">
        <f>HYPERLINK("https://pbs.twimg.com/profile_images/1676635080142323724/YGJbSA-O_normal.jpg")</f>
        <v>https://pbs.twimg.com/profile_images/1676635080142323724/YGJbSA-O_normal.jpg</v>
      </c>
      <c r="G93" s="63"/>
      <c r="H93" s="67"/>
      <c r="I93" s="68"/>
      <c r="J93" s="68"/>
      <c r="K93" s="67" t="s">
        <v>7337</v>
      </c>
      <c r="L93" s="71"/>
      <c r="M93" s="72"/>
      <c r="N93" s="72"/>
      <c r="O93" s="73"/>
      <c r="P93" s="74"/>
      <c r="Q93" s="74"/>
      <c r="R93" s="86"/>
      <c r="S93" s="86"/>
      <c r="T93" s="86"/>
      <c r="U93" s="86"/>
      <c r="V93" s="48"/>
      <c r="W93" s="48"/>
      <c r="X93" s="48"/>
      <c r="Y93" s="48"/>
      <c r="Z93" s="47"/>
      <c r="AA93" s="69">
        <v>93</v>
      </c>
      <c r="AB93" s="69"/>
      <c r="AC93" s="70"/>
      <c r="AD93" s="76" t="s">
        <v>6221</v>
      </c>
      <c r="AE93" s="81" t="s">
        <v>5917</v>
      </c>
      <c r="AF93" s="76">
        <v>410</v>
      </c>
      <c r="AG93" s="76">
        <v>3987</v>
      </c>
      <c r="AH93" s="76">
        <v>32</v>
      </c>
      <c r="AI93" s="76">
        <v>0</v>
      </c>
      <c r="AJ93" s="76">
        <v>461</v>
      </c>
      <c r="AK93" s="76">
        <v>5</v>
      </c>
      <c r="AL93" s="76" t="b">
        <v>0</v>
      </c>
      <c r="AM93" s="78">
        <v>45108.077407407407</v>
      </c>
      <c r="AN93" s="76"/>
      <c r="AO93" s="76" t="s">
        <v>6755</v>
      </c>
      <c r="AP93" s="83" t="str">
        <f>HYPERLINK("https://t.co/34Vw42BLtQ")</f>
        <v>https://t.co/34Vw42BLtQ</v>
      </c>
      <c r="AQ93" s="83" t="str">
        <f>HYPERLINK("http://paraopovo.com.br")</f>
        <v>http://paraopovo.com.br</v>
      </c>
      <c r="AR93" s="76" t="s">
        <v>7056</v>
      </c>
      <c r="AS93" s="76"/>
      <c r="AT93" s="76"/>
      <c r="AU93" s="76"/>
      <c r="AV93" s="76">
        <v>1.67663743131395E+18</v>
      </c>
      <c r="AW93" s="83" t="str">
        <f>HYPERLINK("https://t.co/34Vw42BLtQ")</f>
        <v>https://t.co/34Vw42BLtQ</v>
      </c>
      <c r="AX93" s="76" t="b">
        <v>0</v>
      </c>
      <c r="AY93" s="76"/>
      <c r="AZ93" s="76"/>
      <c r="BA93" s="76" t="b">
        <v>0</v>
      </c>
      <c r="BB93" s="76" t="b">
        <v>1</v>
      </c>
      <c r="BC93" s="76" t="b">
        <v>1</v>
      </c>
      <c r="BD93" s="76" t="b">
        <v>0</v>
      </c>
      <c r="BE93" s="76" t="b">
        <v>0</v>
      </c>
      <c r="BF93" s="76" t="b">
        <v>0</v>
      </c>
      <c r="BG93" s="76" t="b">
        <v>0</v>
      </c>
      <c r="BH93" s="83" t="str">
        <f>HYPERLINK("https://pbs.twimg.com/profile_banners/1674958794067935232/1688575929")</f>
        <v>https://pbs.twimg.com/profile_banners/1674958794067935232/1688575929</v>
      </c>
      <c r="BI93" s="76"/>
      <c r="BJ93" s="76" t="s">
        <v>7245</v>
      </c>
      <c r="BK93" s="76" t="b">
        <v>0</v>
      </c>
      <c r="BL93" s="76"/>
      <c r="BM93" s="76" t="s">
        <v>66</v>
      </c>
      <c r="BN93" s="76" t="s">
        <v>7247</v>
      </c>
      <c r="BO93" s="83" t="str">
        <f>HYPERLINK("https://twitter.com/blogparaopovo")</f>
        <v>https://twitter.com/blogparaopovo</v>
      </c>
      <c r="BP93" s="2"/>
    </row>
    <row r="94" spans="1:68" x14ac:dyDescent="0.25">
      <c r="A94" s="62" t="s">
        <v>312</v>
      </c>
      <c r="B94" s="63"/>
      <c r="C94" s="63"/>
      <c r="D94" s="64"/>
      <c r="E94" s="66"/>
      <c r="F94" s="102" t="str">
        <f>HYPERLINK("https://pbs.twimg.com/profile_images/1622089287951962113/nGAaXMeA_normal.png")</f>
        <v>https://pbs.twimg.com/profile_images/1622089287951962113/nGAaXMeA_normal.png</v>
      </c>
      <c r="G94" s="63"/>
      <c r="H94" s="67"/>
      <c r="I94" s="68"/>
      <c r="J94" s="68"/>
      <c r="K94" s="67" t="s">
        <v>7338</v>
      </c>
      <c r="L94" s="71"/>
      <c r="M94" s="72"/>
      <c r="N94" s="72"/>
      <c r="O94" s="73"/>
      <c r="P94" s="74"/>
      <c r="Q94" s="74"/>
      <c r="R94" s="86"/>
      <c r="S94" s="86"/>
      <c r="T94" s="86"/>
      <c r="U94" s="86"/>
      <c r="V94" s="48"/>
      <c r="W94" s="48"/>
      <c r="X94" s="48"/>
      <c r="Y94" s="48"/>
      <c r="Z94" s="47"/>
      <c r="AA94" s="69">
        <v>94</v>
      </c>
      <c r="AB94" s="69"/>
      <c r="AC94" s="70"/>
      <c r="AD94" s="76" t="s">
        <v>6222</v>
      </c>
      <c r="AE94" s="81" t="s">
        <v>5918</v>
      </c>
      <c r="AF94" s="76">
        <v>3</v>
      </c>
      <c r="AG94" s="76">
        <v>11</v>
      </c>
      <c r="AH94" s="76">
        <v>1</v>
      </c>
      <c r="AI94" s="76">
        <v>0</v>
      </c>
      <c r="AJ94" s="76">
        <v>2</v>
      </c>
      <c r="AK94" s="76">
        <v>0</v>
      </c>
      <c r="AL94" s="76" t="b">
        <v>0</v>
      </c>
      <c r="AM94" s="78">
        <v>44962.185150462959</v>
      </c>
      <c r="AN94" s="76"/>
      <c r="AO94" s="76"/>
      <c r="AP94" s="76"/>
      <c r="AQ94" s="76"/>
      <c r="AR94" s="76"/>
      <c r="AS94" s="76"/>
      <c r="AT94" s="76"/>
      <c r="AU94" s="76"/>
      <c r="AV94" s="76"/>
      <c r="AW94" s="76"/>
      <c r="AX94" s="76" t="b">
        <v>0</v>
      </c>
      <c r="AY94" s="76"/>
      <c r="AZ94" s="76"/>
      <c r="BA94" s="76" t="b">
        <v>0</v>
      </c>
      <c r="BB94" s="76" t="b">
        <v>1</v>
      </c>
      <c r="BC94" s="76" t="b">
        <v>1</v>
      </c>
      <c r="BD94" s="76" t="b">
        <v>0</v>
      </c>
      <c r="BE94" s="76" t="b">
        <v>1</v>
      </c>
      <c r="BF94" s="76" t="b">
        <v>0</v>
      </c>
      <c r="BG94" s="76" t="b">
        <v>0</v>
      </c>
      <c r="BH94" s="76"/>
      <c r="BI94" s="76"/>
      <c r="BJ94" s="76" t="s">
        <v>7245</v>
      </c>
      <c r="BK94" s="76" t="b">
        <v>0</v>
      </c>
      <c r="BL94" s="76"/>
      <c r="BM94" s="76" t="s">
        <v>66</v>
      </c>
      <c r="BN94" s="76" t="s">
        <v>7247</v>
      </c>
      <c r="BO94" s="83" t="str">
        <f>HYPERLINK("https://twitter.com/cryptonoide_")</f>
        <v>https://twitter.com/cryptonoide_</v>
      </c>
      <c r="BP94" s="2"/>
    </row>
    <row r="95" spans="1:68" x14ac:dyDescent="0.25">
      <c r="A95" s="62" t="s">
        <v>313</v>
      </c>
      <c r="B95" s="63"/>
      <c r="C95" s="63"/>
      <c r="D95" s="64"/>
      <c r="E95" s="66"/>
      <c r="F95" s="102" t="str">
        <f>HYPERLINK("https://pbs.twimg.com/profile_images/1602970637919666176/Ul5aIAIP_normal.png")</f>
        <v>https://pbs.twimg.com/profile_images/1602970637919666176/Ul5aIAIP_normal.png</v>
      </c>
      <c r="G95" s="63"/>
      <c r="H95" s="67"/>
      <c r="I95" s="68"/>
      <c r="J95" s="68"/>
      <c r="K95" s="67" t="s">
        <v>7339</v>
      </c>
      <c r="L95" s="71"/>
      <c r="M95" s="72"/>
      <c r="N95" s="72"/>
      <c r="O95" s="73"/>
      <c r="P95" s="74"/>
      <c r="Q95" s="74"/>
      <c r="R95" s="86"/>
      <c r="S95" s="86"/>
      <c r="T95" s="86"/>
      <c r="U95" s="86"/>
      <c r="V95" s="48"/>
      <c r="W95" s="48"/>
      <c r="X95" s="48"/>
      <c r="Y95" s="48"/>
      <c r="Z95" s="47"/>
      <c r="AA95" s="69">
        <v>95</v>
      </c>
      <c r="AB95" s="69"/>
      <c r="AC95" s="70"/>
      <c r="AD95" s="76" t="s">
        <v>6223</v>
      </c>
      <c r="AE95" s="81" t="s">
        <v>5919</v>
      </c>
      <c r="AF95" s="76">
        <v>0</v>
      </c>
      <c r="AG95" s="76">
        <v>1</v>
      </c>
      <c r="AH95" s="76">
        <v>9</v>
      </c>
      <c r="AI95" s="76">
        <v>0</v>
      </c>
      <c r="AJ95" s="76">
        <v>0</v>
      </c>
      <c r="AK95" s="76">
        <v>9</v>
      </c>
      <c r="AL95" s="76" t="b">
        <v>0</v>
      </c>
      <c r="AM95" s="78">
        <v>44909.427731481483</v>
      </c>
      <c r="AN95" s="76"/>
      <c r="AO95" s="76" t="s">
        <v>6756</v>
      </c>
      <c r="AP95" s="76"/>
      <c r="AQ95" s="76"/>
      <c r="AR95" s="76"/>
      <c r="AS95" s="76"/>
      <c r="AT95" s="76"/>
      <c r="AU95" s="76"/>
      <c r="AV95" s="76"/>
      <c r="AW95" s="76"/>
      <c r="AX95" s="76" t="b">
        <v>0</v>
      </c>
      <c r="AY95" s="76"/>
      <c r="AZ95" s="76"/>
      <c r="BA95" s="76" t="b">
        <v>0</v>
      </c>
      <c r="BB95" s="76" t="b">
        <v>1</v>
      </c>
      <c r="BC95" s="76" t="b">
        <v>1</v>
      </c>
      <c r="BD95" s="76" t="b">
        <v>0</v>
      </c>
      <c r="BE95" s="76" t="b">
        <v>0</v>
      </c>
      <c r="BF95" s="76" t="b">
        <v>0</v>
      </c>
      <c r="BG95" s="76" t="b">
        <v>0</v>
      </c>
      <c r="BH95" s="76"/>
      <c r="BI95" s="76"/>
      <c r="BJ95" s="76" t="s">
        <v>7245</v>
      </c>
      <c r="BK95" s="76" t="b">
        <v>0</v>
      </c>
      <c r="BL95" s="76"/>
      <c r="BM95" s="76" t="s">
        <v>66</v>
      </c>
      <c r="BN95" s="76" t="s">
        <v>7247</v>
      </c>
      <c r="BO95" s="83" t="str">
        <f>HYPERLINK("https://twitter.com/digitalfinace")</f>
        <v>https://twitter.com/digitalfinace</v>
      </c>
      <c r="BP95" s="2"/>
    </row>
    <row r="96" spans="1:68" x14ac:dyDescent="0.25">
      <c r="A96" s="62" t="s">
        <v>314</v>
      </c>
      <c r="B96" s="63"/>
      <c r="C96" s="63"/>
      <c r="D96" s="64"/>
      <c r="E96" s="66"/>
      <c r="F96" s="102" t="str">
        <f>HYPERLINK("https://pbs.twimg.com/profile_images/1629964591273766914/14RWSNaZ_normal.jpg")</f>
        <v>https://pbs.twimg.com/profile_images/1629964591273766914/14RWSNaZ_normal.jpg</v>
      </c>
      <c r="G96" s="63"/>
      <c r="H96" s="67"/>
      <c r="I96" s="68"/>
      <c r="J96" s="68"/>
      <c r="K96" s="67" t="s">
        <v>7340</v>
      </c>
      <c r="L96" s="71"/>
      <c r="M96" s="72"/>
      <c r="N96" s="72"/>
      <c r="O96" s="73"/>
      <c r="P96" s="74"/>
      <c r="Q96" s="74"/>
      <c r="R96" s="86"/>
      <c r="S96" s="86"/>
      <c r="T96" s="86"/>
      <c r="U96" s="86"/>
      <c r="V96" s="48"/>
      <c r="W96" s="48"/>
      <c r="X96" s="48"/>
      <c r="Y96" s="48"/>
      <c r="Z96" s="47"/>
      <c r="AA96" s="69">
        <v>96</v>
      </c>
      <c r="AB96" s="69"/>
      <c r="AC96" s="70"/>
      <c r="AD96" s="76" t="s">
        <v>6224</v>
      </c>
      <c r="AE96" s="81" t="s">
        <v>5920</v>
      </c>
      <c r="AF96" s="76">
        <v>19</v>
      </c>
      <c r="AG96" s="76">
        <v>263</v>
      </c>
      <c r="AH96" s="76">
        <v>118</v>
      </c>
      <c r="AI96" s="76">
        <v>0</v>
      </c>
      <c r="AJ96" s="76">
        <v>183</v>
      </c>
      <c r="AK96" s="76">
        <v>14</v>
      </c>
      <c r="AL96" s="76" t="b">
        <v>0</v>
      </c>
      <c r="AM96" s="78">
        <v>44967.953275462962</v>
      </c>
      <c r="AN96" s="76"/>
      <c r="AO96" s="76"/>
      <c r="AP96" s="76"/>
      <c r="AQ96" s="76"/>
      <c r="AR96" s="76"/>
      <c r="AS96" s="76"/>
      <c r="AT96" s="76"/>
      <c r="AU96" s="76"/>
      <c r="AV96" s="76"/>
      <c r="AW96" s="76"/>
      <c r="AX96" s="76" t="b">
        <v>0</v>
      </c>
      <c r="AY96" s="76"/>
      <c r="AZ96" s="76"/>
      <c r="BA96" s="76" t="b">
        <v>1</v>
      </c>
      <c r="BB96" s="76" t="b">
        <v>1</v>
      </c>
      <c r="BC96" s="76" t="b">
        <v>1</v>
      </c>
      <c r="BD96" s="76" t="b">
        <v>0</v>
      </c>
      <c r="BE96" s="76" t="b">
        <v>0</v>
      </c>
      <c r="BF96" s="76" t="b">
        <v>0</v>
      </c>
      <c r="BG96" s="76" t="b">
        <v>0</v>
      </c>
      <c r="BH96" s="83" t="str">
        <f>HYPERLINK("https://pbs.twimg.com/profile_banners/1624179524555382787/1676069813")</f>
        <v>https://pbs.twimg.com/profile_banners/1624179524555382787/1676069813</v>
      </c>
      <c r="BI96" s="76"/>
      <c r="BJ96" s="76" t="s">
        <v>7245</v>
      </c>
      <c r="BK96" s="76" t="b">
        <v>0</v>
      </c>
      <c r="BL96" s="76"/>
      <c r="BM96" s="76" t="s">
        <v>66</v>
      </c>
      <c r="BN96" s="76" t="s">
        <v>7247</v>
      </c>
      <c r="BO96" s="83" t="str">
        <f>HYPERLINK("https://twitter.com/newtechnotopics")</f>
        <v>https://twitter.com/newtechnotopics</v>
      </c>
      <c r="BP96" s="2"/>
    </row>
    <row r="97" spans="1:68" x14ac:dyDescent="0.25">
      <c r="A97" s="62" t="s">
        <v>315</v>
      </c>
      <c r="B97" s="63"/>
      <c r="C97" s="63"/>
      <c r="D97" s="64"/>
      <c r="E97" s="66"/>
      <c r="F97" s="102" t="str">
        <f>HYPERLINK("https://pbs.twimg.com/profile_images/1640715051349987334/ck4sOdMD_normal.jpg")</f>
        <v>https://pbs.twimg.com/profile_images/1640715051349987334/ck4sOdMD_normal.jpg</v>
      </c>
      <c r="G97" s="63"/>
      <c r="H97" s="67"/>
      <c r="I97" s="68"/>
      <c r="J97" s="68"/>
      <c r="K97" s="67" t="s">
        <v>7341</v>
      </c>
      <c r="L97" s="71"/>
      <c r="M97" s="72"/>
      <c r="N97" s="72"/>
      <c r="O97" s="73"/>
      <c r="P97" s="74"/>
      <c r="Q97" s="74"/>
      <c r="R97" s="86"/>
      <c r="S97" s="86"/>
      <c r="T97" s="86"/>
      <c r="U97" s="86"/>
      <c r="V97" s="48"/>
      <c r="W97" s="48"/>
      <c r="X97" s="48"/>
      <c r="Y97" s="48"/>
      <c r="Z97" s="47"/>
      <c r="AA97" s="69">
        <v>97</v>
      </c>
      <c r="AB97" s="69"/>
      <c r="AC97" s="70"/>
      <c r="AD97" s="76" t="s">
        <v>6225</v>
      </c>
      <c r="AE97" s="81" t="s">
        <v>5921</v>
      </c>
      <c r="AF97" s="76">
        <v>98</v>
      </c>
      <c r="AG97" s="76">
        <v>44</v>
      </c>
      <c r="AH97" s="76">
        <v>2121</v>
      </c>
      <c r="AI97" s="76">
        <v>3</v>
      </c>
      <c r="AJ97" s="76">
        <v>1109</v>
      </c>
      <c r="AK97" s="76">
        <v>67</v>
      </c>
      <c r="AL97" s="76" t="b">
        <v>0</v>
      </c>
      <c r="AM97" s="78">
        <v>43376.724432870367</v>
      </c>
      <c r="AN97" s="76" t="s">
        <v>6592</v>
      </c>
      <c r="AO97" s="76" t="s">
        <v>6757</v>
      </c>
      <c r="AP97" s="76"/>
      <c r="AQ97" s="76"/>
      <c r="AR97" s="76"/>
      <c r="AS97" s="76"/>
      <c r="AT97" s="76"/>
      <c r="AU97" s="76"/>
      <c r="AV97" s="76">
        <v>1.6693742787042601E+18</v>
      </c>
      <c r="AW97" s="76"/>
      <c r="AX97" s="76" t="b">
        <v>0</v>
      </c>
      <c r="AY97" s="76"/>
      <c r="AZ97" s="76"/>
      <c r="BA97" s="76" t="b">
        <v>1</v>
      </c>
      <c r="BB97" s="76" t="b">
        <v>0</v>
      </c>
      <c r="BC97" s="76" t="b">
        <v>1</v>
      </c>
      <c r="BD97" s="76" t="b">
        <v>0</v>
      </c>
      <c r="BE97" s="76" t="b">
        <v>1</v>
      </c>
      <c r="BF97" s="76" t="b">
        <v>0</v>
      </c>
      <c r="BG97" s="76" t="b">
        <v>0</v>
      </c>
      <c r="BH97" s="83" t="str">
        <f>HYPERLINK("https://pbs.twimg.com/profile_banners/1047537559860137984/1660912197")</f>
        <v>https://pbs.twimg.com/profile_banners/1047537559860137984/1660912197</v>
      </c>
      <c r="BI97" s="76"/>
      <c r="BJ97" s="76" t="s">
        <v>7245</v>
      </c>
      <c r="BK97" s="76" t="b">
        <v>0</v>
      </c>
      <c r="BL97" s="76"/>
      <c r="BM97" s="76" t="s">
        <v>66</v>
      </c>
      <c r="BN97" s="76" t="s">
        <v>7247</v>
      </c>
      <c r="BO97" s="83" t="str">
        <f>HYPERLINK("https://twitter.com/leandro9marques")</f>
        <v>https://twitter.com/leandro9marques</v>
      </c>
      <c r="BP97" s="2"/>
    </row>
    <row r="98" spans="1:68" x14ac:dyDescent="0.25">
      <c r="A98" s="62" t="s">
        <v>316</v>
      </c>
      <c r="B98" s="63"/>
      <c r="C98" s="63"/>
      <c r="D98" s="64"/>
      <c r="E98" s="66"/>
      <c r="F98" s="102" t="str">
        <f>HYPERLINK("https://pbs.twimg.com/profile_images/1681827407760596993/gtpFTDHy_normal.jpg")</f>
        <v>https://pbs.twimg.com/profile_images/1681827407760596993/gtpFTDHy_normal.jpg</v>
      </c>
      <c r="G98" s="63"/>
      <c r="H98" s="67"/>
      <c r="I98" s="68"/>
      <c r="J98" s="68"/>
      <c r="K98" s="67" t="s">
        <v>7342</v>
      </c>
      <c r="L98" s="71"/>
      <c r="M98" s="72"/>
      <c r="N98" s="72"/>
      <c r="O98" s="73"/>
      <c r="P98" s="74"/>
      <c r="Q98" s="74"/>
      <c r="R98" s="86"/>
      <c r="S98" s="86"/>
      <c r="T98" s="86"/>
      <c r="U98" s="86"/>
      <c r="V98" s="48"/>
      <c r="W98" s="48"/>
      <c r="X98" s="48"/>
      <c r="Y98" s="48"/>
      <c r="Z98" s="47"/>
      <c r="AA98" s="69">
        <v>98</v>
      </c>
      <c r="AB98" s="69"/>
      <c r="AC98" s="70"/>
      <c r="AD98" s="76" t="s">
        <v>6226</v>
      </c>
      <c r="AE98" s="81" t="s">
        <v>5922</v>
      </c>
      <c r="AF98" s="76">
        <v>0</v>
      </c>
      <c r="AG98" s="76">
        <v>3</v>
      </c>
      <c r="AH98" s="76">
        <v>23</v>
      </c>
      <c r="AI98" s="76">
        <v>0</v>
      </c>
      <c r="AJ98" s="76">
        <v>1</v>
      </c>
      <c r="AK98" s="76">
        <v>4</v>
      </c>
      <c r="AL98" s="76" t="b">
        <v>0</v>
      </c>
      <c r="AM98" s="78">
        <v>45126.761620370373</v>
      </c>
      <c r="AN98" s="76" t="s">
        <v>6593</v>
      </c>
      <c r="AO98" s="76" t="s">
        <v>6758</v>
      </c>
      <c r="AP98" s="76"/>
      <c r="AQ98" s="76"/>
      <c r="AR98" s="76"/>
      <c r="AS98" s="76"/>
      <c r="AT98" s="76"/>
      <c r="AU98" s="76"/>
      <c r="AV98" s="76"/>
      <c r="AW98" s="76"/>
      <c r="AX98" s="76" t="b">
        <v>0</v>
      </c>
      <c r="AY98" s="76"/>
      <c r="AZ98" s="76"/>
      <c r="BA98" s="76" t="b">
        <v>0</v>
      </c>
      <c r="BB98" s="76" t="b">
        <v>1</v>
      </c>
      <c r="BC98" s="76" t="b">
        <v>1</v>
      </c>
      <c r="BD98" s="76" t="b">
        <v>0</v>
      </c>
      <c r="BE98" s="76" t="b">
        <v>0</v>
      </c>
      <c r="BF98" s="76" t="b">
        <v>0</v>
      </c>
      <c r="BG98" s="76" t="b">
        <v>0</v>
      </c>
      <c r="BH98" s="83" t="str">
        <f>HYPERLINK("https://pbs.twimg.com/profile_banners/1681729719144726533/1689813876")</f>
        <v>https://pbs.twimg.com/profile_banners/1681729719144726533/1689813876</v>
      </c>
      <c r="BI98" s="76"/>
      <c r="BJ98" s="76" t="s">
        <v>7245</v>
      </c>
      <c r="BK98" s="76" t="b">
        <v>0</v>
      </c>
      <c r="BL98" s="76"/>
      <c r="BM98" s="76" t="s">
        <v>66</v>
      </c>
      <c r="BN98" s="76" t="s">
        <v>7247</v>
      </c>
      <c r="BO98" s="83" t="str">
        <f>HYPERLINK("https://twitter.com/beatrizvahl")</f>
        <v>https://twitter.com/beatrizvahl</v>
      </c>
      <c r="BP98" s="2"/>
    </row>
    <row r="99" spans="1:68" x14ac:dyDescent="0.25">
      <c r="A99" s="62" t="s">
        <v>317</v>
      </c>
      <c r="B99" s="63"/>
      <c r="C99" s="63"/>
      <c r="D99" s="64"/>
      <c r="E99" s="66"/>
      <c r="F99" s="102" t="str">
        <f>HYPERLINK("https://pbs.twimg.com/profile_images/1586337109371240449/EFtrnoKZ_normal.jpg")</f>
        <v>https://pbs.twimg.com/profile_images/1586337109371240449/EFtrnoKZ_normal.jpg</v>
      </c>
      <c r="G99" s="63"/>
      <c r="H99" s="67"/>
      <c r="I99" s="68"/>
      <c r="J99" s="68"/>
      <c r="K99" s="67" t="s">
        <v>7343</v>
      </c>
      <c r="L99" s="71"/>
      <c r="M99" s="72"/>
      <c r="N99" s="72"/>
      <c r="O99" s="73"/>
      <c r="P99" s="74"/>
      <c r="Q99" s="74"/>
      <c r="R99" s="86"/>
      <c r="S99" s="86"/>
      <c r="T99" s="86"/>
      <c r="U99" s="86"/>
      <c r="V99" s="48"/>
      <c r="W99" s="48"/>
      <c r="X99" s="48"/>
      <c r="Y99" s="48"/>
      <c r="Z99" s="47"/>
      <c r="AA99" s="69">
        <v>99</v>
      </c>
      <c r="AB99" s="69"/>
      <c r="AC99" s="70"/>
      <c r="AD99" s="76" t="s">
        <v>6227</v>
      </c>
      <c r="AE99" s="81" t="s">
        <v>5923</v>
      </c>
      <c r="AF99" s="76">
        <v>1</v>
      </c>
      <c r="AG99" s="76">
        <v>118</v>
      </c>
      <c r="AH99" s="76">
        <v>9</v>
      </c>
      <c r="AI99" s="76">
        <v>0</v>
      </c>
      <c r="AJ99" s="76">
        <v>2</v>
      </c>
      <c r="AK99" s="76">
        <v>3</v>
      </c>
      <c r="AL99" s="76" t="b">
        <v>0</v>
      </c>
      <c r="AM99" s="78">
        <v>44863.527499999997</v>
      </c>
      <c r="AN99" s="76" t="s">
        <v>6594</v>
      </c>
      <c r="AO99" s="76" t="s">
        <v>6759</v>
      </c>
      <c r="AP99" s="76"/>
      <c r="AQ99" s="76"/>
      <c r="AR99" s="76"/>
      <c r="AS99" s="76"/>
      <c r="AT99" s="76"/>
      <c r="AU99" s="76"/>
      <c r="AV99" s="76"/>
      <c r="AW99" s="76"/>
      <c r="AX99" s="76" t="b">
        <v>0</v>
      </c>
      <c r="AY99" s="76"/>
      <c r="AZ99" s="76"/>
      <c r="BA99" s="76" t="b">
        <v>0</v>
      </c>
      <c r="BB99" s="76" t="b">
        <v>1</v>
      </c>
      <c r="BC99" s="76" t="b">
        <v>1</v>
      </c>
      <c r="BD99" s="76" t="b">
        <v>0</v>
      </c>
      <c r="BE99" s="76" t="b">
        <v>0</v>
      </c>
      <c r="BF99" s="76" t="b">
        <v>0</v>
      </c>
      <c r="BG99" s="76" t="b">
        <v>0</v>
      </c>
      <c r="BH99" s="83" t="str">
        <f>HYPERLINK("https://pbs.twimg.com/profile_banners/1586336892244688896/1676244565")</f>
        <v>https://pbs.twimg.com/profile_banners/1586336892244688896/1676244565</v>
      </c>
      <c r="BI99" s="76"/>
      <c r="BJ99" s="76" t="s">
        <v>7245</v>
      </c>
      <c r="BK99" s="76" t="b">
        <v>0</v>
      </c>
      <c r="BL99" s="76"/>
      <c r="BM99" s="76" t="s">
        <v>66</v>
      </c>
      <c r="BN99" s="76" t="s">
        <v>7247</v>
      </c>
      <c r="BO99" s="83" t="str">
        <f>HYPERLINK("https://twitter.com/danillobiete")</f>
        <v>https://twitter.com/danillobiete</v>
      </c>
      <c r="BP99" s="2"/>
    </row>
    <row r="100" spans="1:68" x14ac:dyDescent="0.25">
      <c r="A100" s="62" t="s">
        <v>318</v>
      </c>
      <c r="B100" s="63"/>
      <c r="C100" s="63"/>
      <c r="D100" s="64"/>
      <c r="E100" s="66"/>
      <c r="F100" s="102" t="str">
        <f>HYPERLINK("https://pbs.twimg.com/profile_images/1150785055729471488/qYsxrPuN_normal.png")</f>
        <v>https://pbs.twimg.com/profile_images/1150785055729471488/qYsxrPuN_normal.png</v>
      </c>
      <c r="G100" s="63"/>
      <c r="H100" s="67"/>
      <c r="I100" s="68"/>
      <c r="J100" s="68"/>
      <c r="K100" s="67" t="s">
        <v>7344</v>
      </c>
      <c r="L100" s="71"/>
      <c r="M100" s="72"/>
      <c r="N100" s="72"/>
      <c r="O100" s="73"/>
      <c r="P100" s="74"/>
      <c r="Q100" s="74"/>
      <c r="R100" s="86"/>
      <c r="S100" s="86"/>
      <c r="T100" s="86"/>
      <c r="U100" s="86"/>
      <c r="V100" s="48"/>
      <c r="W100" s="48"/>
      <c r="X100" s="48"/>
      <c r="Y100" s="48"/>
      <c r="Z100" s="47"/>
      <c r="AA100" s="69">
        <v>100</v>
      </c>
      <c r="AB100" s="69"/>
      <c r="AC100" s="70"/>
      <c r="AD100" s="76" t="s">
        <v>6228</v>
      </c>
      <c r="AE100" s="81" t="s">
        <v>5924</v>
      </c>
      <c r="AF100" s="76">
        <v>15</v>
      </c>
      <c r="AG100" s="76">
        <v>43</v>
      </c>
      <c r="AH100" s="76">
        <v>232</v>
      </c>
      <c r="AI100" s="76">
        <v>0</v>
      </c>
      <c r="AJ100" s="76">
        <v>6</v>
      </c>
      <c r="AK100" s="76">
        <v>210</v>
      </c>
      <c r="AL100" s="76" t="b">
        <v>0</v>
      </c>
      <c r="AM100" s="78">
        <v>43661.632939814815</v>
      </c>
      <c r="AN100" s="76" t="s">
        <v>6595</v>
      </c>
      <c r="AO100" s="76" t="s">
        <v>6760</v>
      </c>
      <c r="AP100" s="83" t="str">
        <f>HYPERLINK("https://t.co/cXWRoNPMqh")</f>
        <v>https://t.co/cXWRoNPMqh</v>
      </c>
      <c r="AQ100" s="83" t="str">
        <f>HYPERLINK("http://www.prospergroup.co.in")</f>
        <v>http://www.prospergroup.co.in</v>
      </c>
      <c r="AR100" s="76" t="s">
        <v>7057</v>
      </c>
      <c r="AS100" s="76"/>
      <c r="AT100" s="76"/>
      <c r="AU100" s="76"/>
      <c r="AV100" s="76"/>
      <c r="AW100" s="83" t="str">
        <f>HYPERLINK("https://t.co/cXWRoNPMqh")</f>
        <v>https://t.co/cXWRoNPMqh</v>
      </c>
      <c r="AX100" s="76" t="b">
        <v>0</v>
      </c>
      <c r="AY100" s="76"/>
      <c r="AZ100" s="76"/>
      <c r="BA100" s="76" t="b">
        <v>0</v>
      </c>
      <c r="BB100" s="76" t="b">
        <v>1</v>
      </c>
      <c r="BC100" s="76" t="b">
        <v>1</v>
      </c>
      <c r="BD100" s="76" t="b">
        <v>0</v>
      </c>
      <c r="BE100" s="76" t="b">
        <v>0</v>
      </c>
      <c r="BF100" s="76" t="b">
        <v>0</v>
      </c>
      <c r="BG100" s="76" t="b">
        <v>0</v>
      </c>
      <c r="BH100" s="83" t="str">
        <f>HYPERLINK("https://pbs.twimg.com/profile_banners/1150784944420970497/1622699964")</f>
        <v>https://pbs.twimg.com/profile_banners/1150784944420970497/1622699964</v>
      </c>
      <c r="BI100" s="76"/>
      <c r="BJ100" s="76" t="s">
        <v>7245</v>
      </c>
      <c r="BK100" s="76" t="b">
        <v>0</v>
      </c>
      <c r="BL100" s="76"/>
      <c r="BM100" s="76" t="s">
        <v>66</v>
      </c>
      <c r="BN100" s="76" t="s">
        <v>7247</v>
      </c>
      <c r="BO100" s="83" t="str">
        <f>HYPERLINK("https://twitter.com/milan_prosper")</f>
        <v>https://twitter.com/milan_prosper</v>
      </c>
      <c r="BP100" s="2"/>
    </row>
    <row r="101" spans="1:68" x14ac:dyDescent="0.25">
      <c r="A101" s="62" t="s">
        <v>319</v>
      </c>
      <c r="B101" s="63"/>
      <c r="C101" s="63"/>
      <c r="D101" s="64"/>
      <c r="E101" s="66"/>
      <c r="F101" s="102" t="str">
        <f>HYPERLINK("https://pbs.twimg.com/profile_images/1632751881989545986/n1Xc1zHo_normal.jpg")</f>
        <v>https://pbs.twimg.com/profile_images/1632751881989545986/n1Xc1zHo_normal.jpg</v>
      </c>
      <c r="G101" s="63"/>
      <c r="H101" s="67"/>
      <c r="I101" s="68"/>
      <c r="J101" s="68"/>
      <c r="K101" s="67" t="s">
        <v>7345</v>
      </c>
      <c r="L101" s="71"/>
      <c r="M101" s="72"/>
      <c r="N101" s="72"/>
      <c r="O101" s="73"/>
      <c r="P101" s="74"/>
      <c r="Q101" s="74"/>
      <c r="R101" s="86"/>
      <c r="S101" s="86"/>
      <c r="T101" s="86"/>
      <c r="U101" s="86"/>
      <c r="V101" s="48"/>
      <c r="W101" s="48"/>
      <c r="X101" s="48"/>
      <c r="Y101" s="48"/>
      <c r="Z101" s="47"/>
      <c r="AA101" s="69">
        <v>101</v>
      </c>
      <c r="AB101" s="69"/>
      <c r="AC101" s="70"/>
      <c r="AD101" s="76" t="s">
        <v>6229</v>
      </c>
      <c r="AE101" s="81" t="s">
        <v>5925</v>
      </c>
      <c r="AF101" s="76">
        <v>20</v>
      </c>
      <c r="AG101" s="76">
        <v>8</v>
      </c>
      <c r="AH101" s="76">
        <v>1710</v>
      </c>
      <c r="AI101" s="76">
        <v>1</v>
      </c>
      <c r="AJ101" s="76">
        <v>3</v>
      </c>
      <c r="AK101" s="76">
        <v>1599</v>
      </c>
      <c r="AL101" s="76" t="b">
        <v>0</v>
      </c>
      <c r="AM101" s="78">
        <v>43131.463402777779</v>
      </c>
      <c r="AN101" s="76" t="s">
        <v>6596</v>
      </c>
      <c r="AO101" s="76" t="s">
        <v>6761</v>
      </c>
      <c r="AP101" s="83" t="str">
        <f>HYPERLINK("https://t.co/rt3Q33BHGw")</f>
        <v>https://t.co/rt3Q33BHGw</v>
      </c>
      <c r="AQ101" s="83" t="str">
        <f>HYPERLINK("http://sicoobcrediara.rds.land/seguros-gerais")</f>
        <v>http://sicoobcrediara.rds.land/seguros-gerais</v>
      </c>
      <c r="AR101" s="76" t="s">
        <v>7058</v>
      </c>
      <c r="AS101" s="76"/>
      <c r="AT101" s="76"/>
      <c r="AU101" s="76"/>
      <c r="AV101" s="76"/>
      <c r="AW101" s="83" t="str">
        <f>HYPERLINK("https://t.co/rt3Q33BHGw")</f>
        <v>https://t.co/rt3Q33BHGw</v>
      </c>
      <c r="AX101" s="76" t="b">
        <v>0</v>
      </c>
      <c r="AY101" s="76"/>
      <c r="AZ101" s="76"/>
      <c r="BA101" s="76" t="b">
        <v>0</v>
      </c>
      <c r="BB101" s="76" t="b">
        <v>1</v>
      </c>
      <c r="BC101" s="76" t="b">
        <v>1</v>
      </c>
      <c r="BD101" s="76" t="b">
        <v>0</v>
      </c>
      <c r="BE101" s="76" t="b">
        <v>0</v>
      </c>
      <c r="BF101" s="76" t="b">
        <v>0</v>
      </c>
      <c r="BG101" s="76" t="b">
        <v>0</v>
      </c>
      <c r="BH101" s="83" t="str">
        <f>HYPERLINK("https://pbs.twimg.com/profile_banners/958657937475559425/1678113359")</f>
        <v>https://pbs.twimg.com/profile_banners/958657937475559425/1678113359</v>
      </c>
      <c r="BI101" s="76"/>
      <c r="BJ101" s="76" t="s">
        <v>7245</v>
      </c>
      <c r="BK101" s="76" t="b">
        <v>0</v>
      </c>
      <c r="BL101" s="76"/>
      <c r="BM101" s="76" t="s">
        <v>66</v>
      </c>
      <c r="BN101" s="76" t="s">
        <v>7247</v>
      </c>
      <c r="BO101" s="83" t="str">
        <f>HYPERLINK("https://twitter.com/sicoobcrediara")</f>
        <v>https://twitter.com/sicoobcrediara</v>
      </c>
      <c r="BP101" s="2"/>
    </row>
    <row r="102" spans="1:68" x14ac:dyDescent="0.25">
      <c r="A102" s="62" t="s">
        <v>320</v>
      </c>
      <c r="B102" s="63"/>
      <c r="C102" s="63"/>
      <c r="D102" s="64"/>
      <c r="E102" s="66"/>
      <c r="F102" s="102" t="str">
        <f>HYPERLINK("https://pbs.twimg.com/profile_images/1656391776658243591/f63t53l5_normal.png")</f>
        <v>https://pbs.twimg.com/profile_images/1656391776658243591/f63t53l5_normal.png</v>
      </c>
      <c r="G102" s="63"/>
      <c r="H102" s="67"/>
      <c r="I102" s="68"/>
      <c r="J102" s="68"/>
      <c r="K102" s="67" t="s">
        <v>7346</v>
      </c>
      <c r="L102" s="71"/>
      <c r="M102" s="72"/>
      <c r="N102" s="72"/>
      <c r="O102" s="73"/>
      <c r="P102" s="74"/>
      <c r="Q102" s="74"/>
      <c r="R102" s="86"/>
      <c r="S102" s="86"/>
      <c r="T102" s="86"/>
      <c r="U102" s="86"/>
      <c r="V102" s="48"/>
      <c r="W102" s="48"/>
      <c r="X102" s="48"/>
      <c r="Y102" s="48"/>
      <c r="Z102" s="47"/>
      <c r="AA102" s="69">
        <v>102</v>
      </c>
      <c r="AB102" s="69"/>
      <c r="AC102" s="70"/>
      <c r="AD102" s="76" t="s">
        <v>6230</v>
      </c>
      <c r="AE102" s="81" t="s">
        <v>5926</v>
      </c>
      <c r="AF102" s="76">
        <v>0</v>
      </c>
      <c r="AG102" s="76">
        <v>10</v>
      </c>
      <c r="AH102" s="76">
        <v>31</v>
      </c>
      <c r="AI102" s="76">
        <v>0</v>
      </c>
      <c r="AJ102" s="76">
        <v>0</v>
      </c>
      <c r="AK102" s="76">
        <v>29</v>
      </c>
      <c r="AL102" s="76" t="b">
        <v>0</v>
      </c>
      <c r="AM102" s="78">
        <v>44966.884421296294</v>
      </c>
      <c r="AN102" s="76"/>
      <c r="AO102" s="76" t="s">
        <v>6762</v>
      </c>
      <c r="AP102" s="76"/>
      <c r="AQ102" s="76"/>
      <c r="AR102" s="76"/>
      <c r="AS102" s="76"/>
      <c r="AT102" s="76"/>
      <c r="AU102" s="76"/>
      <c r="AV102" s="76"/>
      <c r="AW102" s="76"/>
      <c r="AX102" s="76" t="b">
        <v>0</v>
      </c>
      <c r="AY102" s="76"/>
      <c r="AZ102" s="76"/>
      <c r="BA102" s="76" t="b">
        <v>0</v>
      </c>
      <c r="BB102" s="76" t="b">
        <v>1</v>
      </c>
      <c r="BC102" s="76" t="b">
        <v>1</v>
      </c>
      <c r="BD102" s="76" t="b">
        <v>0</v>
      </c>
      <c r="BE102" s="76" t="b">
        <v>0</v>
      </c>
      <c r="BF102" s="76" t="b">
        <v>0</v>
      </c>
      <c r="BG102" s="76" t="b">
        <v>0</v>
      </c>
      <c r="BH102" s="83" t="str">
        <f>HYPERLINK("https://pbs.twimg.com/profile_banners/1623792207047143426/1683576209")</f>
        <v>https://pbs.twimg.com/profile_banners/1623792207047143426/1683576209</v>
      </c>
      <c r="BI102" s="76"/>
      <c r="BJ102" s="76" t="s">
        <v>7245</v>
      </c>
      <c r="BK102" s="76" t="b">
        <v>0</v>
      </c>
      <c r="BL102" s="76"/>
      <c r="BM102" s="76" t="s">
        <v>66</v>
      </c>
      <c r="BN102" s="76" t="s">
        <v>7247</v>
      </c>
      <c r="BO102" s="83" t="str">
        <f>HYPERLINK("https://twitter.com/joseanesoll")</f>
        <v>https://twitter.com/joseanesoll</v>
      </c>
      <c r="BP102" s="2"/>
    </row>
    <row r="103" spans="1:68" x14ac:dyDescent="0.25">
      <c r="A103" s="62" t="s">
        <v>321</v>
      </c>
      <c r="B103" s="63"/>
      <c r="C103" s="63"/>
      <c r="D103" s="64"/>
      <c r="E103" s="66"/>
      <c r="F103" s="102" t="str">
        <f>HYPERLINK("https://pbs.twimg.com/profile_images/1615417996826054674/S4AQ1ejx_normal.jpg")</f>
        <v>https://pbs.twimg.com/profile_images/1615417996826054674/S4AQ1ejx_normal.jpg</v>
      </c>
      <c r="G103" s="63"/>
      <c r="H103" s="67"/>
      <c r="I103" s="68"/>
      <c r="J103" s="68"/>
      <c r="K103" s="67" t="s">
        <v>7347</v>
      </c>
      <c r="L103" s="71"/>
      <c r="M103" s="72"/>
      <c r="N103" s="72"/>
      <c r="O103" s="73"/>
      <c r="P103" s="74"/>
      <c r="Q103" s="74"/>
      <c r="R103" s="86"/>
      <c r="S103" s="86"/>
      <c r="T103" s="86"/>
      <c r="U103" s="86"/>
      <c r="V103" s="48"/>
      <c r="W103" s="48"/>
      <c r="X103" s="48"/>
      <c r="Y103" s="48"/>
      <c r="Z103" s="47"/>
      <c r="AA103" s="69">
        <v>103</v>
      </c>
      <c r="AB103" s="69"/>
      <c r="AC103" s="70"/>
      <c r="AD103" s="76" t="s">
        <v>6231</v>
      </c>
      <c r="AE103" s="81" t="s">
        <v>5583</v>
      </c>
      <c r="AF103" s="76">
        <v>24770</v>
      </c>
      <c r="AG103" s="76">
        <v>34</v>
      </c>
      <c r="AH103" s="76">
        <v>23952</v>
      </c>
      <c r="AI103" s="76">
        <v>421</v>
      </c>
      <c r="AJ103" s="76">
        <v>220</v>
      </c>
      <c r="AK103" s="76">
        <v>706</v>
      </c>
      <c r="AL103" s="76" t="b">
        <v>0</v>
      </c>
      <c r="AM103" s="78">
        <v>42633.704722222225</v>
      </c>
      <c r="AN103" s="76"/>
      <c r="AO103" s="76" t="s">
        <v>6763</v>
      </c>
      <c r="AP103" s="83" t="str">
        <f>HYPERLINK("https://t.co/MP9EvRK6WE")</f>
        <v>https://t.co/MP9EvRK6WE</v>
      </c>
      <c r="AQ103" s="83" t="str">
        <f>HYPERLINK("https://linktr.ee/suno.noticias")</f>
        <v>https://linktr.ee/suno.noticias</v>
      </c>
      <c r="AR103" s="76" t="s">
        <v>7059</v>
      </c>
      <c r="AS103" s="76"/>
      <c r="AT103" s="76"/>
      <c r="AU103" s="76"/>
      <c r="AV103" s="76">
        <v>1.48822435088509E+18</v>
      </c>
      <c r="AW103" s="83" t="str">
        <f>HYPERLINK("https://t.co/MP9EvRK6WE")</f>
        <v>https://t.co/MP9EvRK6WE</v>
      </c>
      <c r="AX103" s="76" t="b">
        <v>0</v>
      </c>
      <c r="AY103" s="76"/>
      <c r="AZ103" s="76"/>
      <c r="BA103" s="76" t="b">
        <v>0</v>
      </c>
      <c r="BB103" s="76" t="b">
        <v>1</v>
      </c>
      <c r="BC103" s="76" t="b">
        <v>1</v>
      </c>
      <c r="BD103" s="76" t="b">
        <v>0</v>
      </c>
      <c r="BE103" s="76" t="b">
        <v>0</v>
      </c>
      <c r="BF103" s="76" t="b">
        <v>0</v>
      </c>
      <c r="BG103" s="76" t="b">
        <v>0</v>
      </c>
      <c r="BH103" s="83" t="str">
        <f>HYPERLINK("https://pbs.twimg.com/profile_banners/778276232081342464/1678307667")</f>
        <v>https://pbs.twimg.com/profile_banners/778276232081342464/1678307667</v>
      </c>
      <c r="BI103" s="76"/>
      <c r="BJ103" s="76" t="s">
        <v>7245</v>
      </c>
      <c r="BK103" s="76" t="b">
        <v>0</v>
      </c>
      <c r="BL103" s="76"/>
      <c r="BM103" s="76" t="s">
        <v>66</v>
      </c>
      <c r="BN103" s="76" t="s">
        <v>7247</v>
      </c>
      <c r="BO103" s="83" t="str">
        <f>HYPERLINK("https://twitter.com/sunonoticias")</f>
        <v>https://twitter.com/sunonoticias</v>
      </c>
      <c r="BP103" s="2"/>
    </row>
    <row r="104" spans="1:68" x14ac:dyDescent="0.25">
      <c r="A104" s="62" t="s">
        <v>322</v>
      </c>
      <c r="B104" s="63"/>
      <c r="C104" s="63"/>
      <c r="D104" s="64"/>
      <c r="E104" s="66"/>
      <c r="F104" s="102" t="str">
        <f>HYPERLINK("https://pbs.twimg.com/profile_images/1590716700185485313/j6bGdAUh_normal.jpg")</f>
        <v>https://pbs.twimg.com/profile_images/1590716700185485313/j6bGdAUh_normal.jpg</v>
      </c>
      <c r="G104" s="63"/>
      <c r="H104" s="67"/>
      <c r="I104" s="68"/>
      <c r="J104" s="68"/>
      <c r="K104" s="67" t="s">
        <v>7348</v>
      </c>
      <c r="L104" s="71"/>
      <c r="M104" s="72"/>
      <c r="N104" s="72"/>
      <c r="O104" s="73"/>
      <c r="P104" s="74"/>
      <c r="Q104" s="74"/>
      <c r="R104" s="86"/>
      <c r="S104" s="86"/>
      <c r="T104" s="86"/>
      <c r="U104" s="86"/>
      <c r="V104" s="48"/>
      <c r="W104" s="48"/>
      <c r="X104" s="48"/>
      <c r="Y104" s="48"/>
      <c r="Z104" s="47"/>
      <c r="AA104" s="69">
        <v>104</v>
      </c>
      <c r="AB104" s="69"/>
      <c r="AC104" s="70"/>
      <c r="AD104" s="76" t="s">
        <v>6232</v>
      </c>
      <c r="AE104" s="81" t="s">
        <v>5927</v>
      </c>
      <c r="AF104" s="76">
        <v>0</v>
      </c>
      <c r="AG104" s="76">
        <v>9</v>
      </c>
      <c r="AH104" s="76">
        <v>5</v>
      </c>
      <c r="AI104" s="76">
        <v>0</v>
      </c>
      <c r="AJ104" s="76">
        <v>3</v>
      </c>
      <c r="AK104" s="76">
        <v>3</v>
      </c>
      <c r="AL104" s="76" t="b">
        <v>0</v>
      </c>
      <c r="AM104" s="78">
        <v>44875.613298611112</v>
      </c>
      <c r="AN104" s="76"/>
      <c r="AO104" s="76"/>
      <c r="AP104" s="76"/>
      <c r="AQ104" s="76"/>
      <c r="AR104" s="76"/>
      <c r="AS104" s="76"/>
      <c r="AT104" s="76"/>
      <c r="AU104" s="76"/>
      <c r="AV104" s="76"/>
      <c r="AW104" s="76"/>
      <c r="AX104" s="76" t="b">
        <v>0</v>
      </c>
      <c r="AY104" s="76"/>
      <c r="AZ104" s="76"/>
      <c r="BA104" s="76" t="b">
        <v>0</v>
      </c>
      <c r="BB104" s="76" t="b">
        <v>1</v>
      </c>
      <c r="BC104" s="76" t="b">
        <v>1</v>
      </c>
      <c r="BD104" s="76" t="b">
        <v>0</v>
      </c>
      <c r="BE104" s="76" t="b">
        <v>0</v>
      </c>
      <c r="BF104" s="76" t="b">
        <v>0</v>
      </c>
      <c r="BG104" s="76" t="b">
        <v>0</v>
      </c>
      <c r="BH104" s="76"/>
      <c r="BI104" s="76"/>
      <c r="BJ104" s="76" t="s">
        <v>7245</v>
      </c>
      <c r="BK104" s="76" t="b">
        <v>0</v>
      </c>
      <c r="BL104" s="76"/>
      <c r="BM104" s="76" t="s">
        <v>66</v>
      </c>
      <c r="BN104" s="76" t="s">
        <v>7247</v>
      </c>
      <c r="BO104" s="83" t="str">
        <f>HYPERLINK("https://twitter.com/izaias_liborio")</f>
        <v>https://twitter.com/izaias_liborio</v>
      </c>
      <c r="BP104" s="2"/>
    </row>
    <row r="105" spans="1:68" x14ac:dyDescent="0.25">
      <c r="A105" s="62" t="s">
        <v>323</v>
      </c>
      <c r="B105" s="63"/>
      <c r="C105" s="63"/>
      <c r="D105" s="64"/>
      <c r="E105" s="66"/>
      <c r="F105" s="102" t="str">
        <f>HYPERLINK("https://pbs.twimg.com/profile_images/1661487936213250048/01GtLPqA_normal.jpg")</f>
        <v>https://pbs.twimg.com/profile_images/1661487936213250048/01GtLPqA_normal.jpg</v>
      </c>
      <c r="G105" s="63"/>
      <c r="H105" s="67"/>
      <c r="I105" s="68"/>
      <c r="J105" s="68"/>
      <c r="K105" s="67" t="s">
        <v>7349</v>
      </c>
      <c r="L105" s="71"/>
      <c r="M105" s="72"/>
      <c r="N105" s="72"/>
      <c r="O105" s="73"/>
      <c r="P105" s="74"/>
      <c r="Q105" s="74"/>
      <c r="R105" s="86"/>
      <c r="S105" s="86"/>
      <c r="T105" s="86"/>
      <c r="U105" s="86"/>
      <c r="V105" s="48"/>
      <c r="W105" s="48"/>
      <c r="X105" s="48"/>
      <c r="Y105" s="48"/>
      <c r="Z105" s="47"/>
      <c r="AA105" s="69">
        <v>105</v>
      </c>
      <c r="AB105" s="69"/>
      <c r="AC105" s="70"/>
      <c r="AD105" s="76" t="s">
        <v>6233</v>
      </c>
      <c r="AE105" s="81" t="s">
        <v>5928</v>
      </c>
      <c r="AF105" s="76">
        <v>17</v>
      </c>
      <c r="AG105" s="76">
        <v>77</v>
      </c>
      <c r="AH105" s="76">
        <v>169</v>
      </c>
      <c r="AI105" s="76">
        <v>0</v>
      </c>
      <c r="AJ105" s="76">
        <v>1818</v>
      </c>
      <c r="AK105" s="76">
        <v>37</v>
      </c>
      <c r="AL105" s="76" t="b">
        <v>0</v>
      </c>
      <c r="AM105" s="78">
        <v>42681.101273148146</v>
      </c>
      <c r="AN105" s="76" t="s">
        <v>6597</v>
      </c>
      <c r="AO105" s="76" t="s">
        <v>6764</v>
      </c>
      <c r="AP105" s="83" t="str">
        <f>HYPERLINK("https://t.co/MWjFXuglEw")</f>
        <v>https://t.co/MWjFXuglEw</v>
      </c>
      <c r="AQ105" s="83" t="str">
        <f>HYPERLINK("https://api.whatsapp.com/send?phone=5519983245780")</f>
        <v>https://api.whatsapp.com/send?phone=5519983245780</v>
      </c>
      <c r="AR105" s="76" t="s">
        <v>7060</v>
      </c>
      <c r="AS105" s="76"/>
      <c r="AT105" s="76"/>
      <c r="AU105" s="76"/>
      <c r="AV105" s="76"/>
      <c r="AW105" s="83" t="str">
        <f>HYPERLINK("https://t.co/MWjFXuglEw")</f>
        <v>https://t.co/MWjFXuglEw</v>
      </c>
      <c r="AX105" s="76" t="b">
        <v>0</v>
      </c>
      <c r="AY105" s="76"/>
      <c r="AZ105" s="76"/>
      <c r="BA105" s="76" t="b">
        <v>1</v>
      </c>
      <c r="BB105" s="76" t="b">
        <v>0</v>
      </c>
      <c r="BC105" s="76" t="b">
        <v>1</v>
      </c>
      <c r="BD105" s="76" t="b">
        <v>0</v>
      </c>
      <c r="BE105" s="76" t="b">
        <v>1</v>
      </c>
      <c r="BF105" s="76" t="b">
        <v>0</v>
      </c>
      <c r="BG105" s="76" t="b">
        <v>1</v>
      </c>
      <c r="BH105" s="83" t="str">
        <f>HYPERLINK("https://pbs.twimg.com/profile_banners/795452166521634816/1680262941")</f>
        <v>https://pbs.twimg.com/profile_banners/795452166521634816/1680262941</v>
      </c>
      <c r="BI105" s="76"/>
      <c r="BJ105" s="76" t="s">
        <v>7245</v>
      </c>
      <c r="BK105" s="76" t="b">
        <v>0</v>
      </c>
      <c r="BL105" s="76"/>
      <c r="BM105" s="76" t="s">
        <v>66</v>
      </c>
      <c r="BN105" s="76" t="s">
        <v>7247</v>
      </c>
      <c r="BO105" s="83" t="str">
        <f>HYPERLINK("https://twitter.com/cammilatorres91")</f>
        <v>https://twitter.com/cammilatorres91</v>
      </c>
      <c r="BP105" s="2"/>
    </row>
    <row r="106" spans="1:68" x14ac:dyDescent="0.25">
      <c r="A106" s="62" t="s">
        <v>324</v>
      </c>
      <c r="B106" s="63"/>
      <c r="C106" s="63"/>
      <c r="D106" s="64"/>
      <c r="E106" s="66"/>
      <c r="F106" s="102" t="str">
        <f>HYPERLINK("https://pbs.twimg.com/profile_images/1355576785698742284/tvIt6n2x_normal.jpg")</f>
        <v>https://pbs.twimg.com/profile_images/1355576785698742284/tvIt6n2x_normal.jpg</v>
      </c>
      <c r="G106" s="63"/>
      <c r="H106" s="67"/>
      <c r="I106" s="68"/>
      <c r="J106" s="68"/>
      <c r="K106" s="67" t="s">
        <v>7350</v>
      </c>
      <c r="L106" s="71"/>
      <c r="M106" s="72"/>
      <c r="N106" s="72"/>
      <c r="O106" s="73"/>
      <c r="P106" s="74"/>
      <c r="Q106" s="74"/>
      <c r="R106" s="86"/>
      <c r="S106" s="86"/>
      <c r="T106" s="86"/>
      <c r="U106" s="86"/>
      <c r="V106" s="48"/>
      <c r="W106" s="48"/>
      <c r="X106" s="48"/>
      <c r="Y106" s="48"/>
      <c r="Z106" s="47"/>
      <c r="AA106" s="69">
        <v>106</v>
      </c>
      <c r="AB106" s="69"/>
      <c r="AC106" s="70"/>
      <c r="AD106" s="76" t="s">
        <v>6234</v>
      </c>
      <c r="AE106" s="81" t="s">
        <v>5929</v>
      </c>
      <c r="AF106" s="76">
        <v>198</v>
      </c>
      <c r="AG106" s="76">
        <v>155</v>
      </c>
      <c r="AH106" s="76">
        <v>1184</v>
      </c>
      <c r="AI106" s="76">
        <v>3</v>
      </c>
      <c r="AJ106" s="76">
        <v>173</v>
      </c>
      <c r="AK106" s="76">
        <v>407</v>
      </c>
      <c r="AL106" s="76" t="b">
        <v>0</v>
      </c>
      <c r="AM106" s="78">
        <v>42782.892500000002</v>
      </c>
      <c r="AN106" s="76" t="s">
        <v>6598</v>
      </c>
      <c r="AO106" s="76" t="s">
        <v>6765</v>
      </c>
      <c r="AP106" s="83" t="str">
        <f>HYPERLINK("https://t.co/1XiabGbjX8")</f>
        <v>https://t.co/1XiabGbjX8</v>
      </c>
      <c r="AQ106" s="83" t="str">
        <f>HYPERLINK("https://linktr.ee/PapodeMilhao022")</f>
        <v>https://linktr.ee/PapodeMilhao022</v>
      </c>
      <c r="AR106" s="76" t="s">
        <v>7061</v>
      </c>
      <c r="AS106" s="76"/>
      <c r="AT106" s="76"/>
      <c r="AU106" s="76"/>
      <c r="AV106" s="76"/>
      <c r="AW106" s="83" t="str">
        <f>HYPERLINK("https://t.co/1XiabGbjX8")</f>
        <v>https://t.co/1XiabGbjX8</v>
      </c>
      <c r="AX106" s="76" t="b">
        <v>0</v>
      </c>
      <c r="AY106" s="76"/>
      <c r="AZ106" s="76"/>
      <c r="BA106" s="76" t="b">
        <v>0</v>
      </c>
      <c r="BB106" s="76" t="b">
        <v>1</v>
      </c>
      <c r="BC106" s="76" t="b">
        <v>1</v>
      </c>
      <c r="BD106" s="76" t="b">
        <v>0</v>
      </c>
      <c r="BE106" s="76" t="b">
        <v>0</v>
      </c>
      <c r="BF106" s="76" t="b">
        <v>0</v>
      </c>
      <c r="BG106" s="76" t="b">
        <v>0</v>
      </c>
      <c r="BH106" s="83" t="str">
        <f>HYPERLINK("https://pbs.twimg.com/profile_banners/832340075086278656/1612029666")</f>
        <v>https://pbs.twimg.com/profile_banners/832340075086278656/1612029666</v>
      </c>
      <c r="BI106" s="76"/>
      <c r="BJ106" s="76" t="s">
        <v>7245</v>
      </c>
      <c r="BK106" s="76" t="b">
        <v>0</v>
      </c>
      <c r="BL106" s="76"/>
      <c r="BM106" s="76" t="s">
        <v>66</v>
      </c>
      <c r="BN106" s="76" t="s">
        <v>7247</v>
      </c>
      <c r="BO106" s="83" t="str">
        <f>HYPERLINK("https://twitter.com/papodemilhao022")</f>
        <v>https://twitter.com/papodemilhao022</v>
      </c>
      <c r="BP106" s="2"/>
    </row>
    <row r="107" spans="1:68" x14ac:dyDescent="0.25">
      <c r="A107" s="62" t="s">
        <v>325</v>
      </c>
      <c r="B107" s="63"/>
      <c r="C107" s="63"/>
      <c r="D107" s="64"/>
      <c r="E107" s="66"/>
      <c r="F107" s="102" t="str">
        <f>HYPERLINK("https://pbs.twimg.com/profile_images/1602771288061317123/ygIKRKxl_normal.jpg")</f>
        <v>https://pbs.twimg.com/profile_images/1602771288061317123/ygIKRKxl_normal.jpg</v>
      </c>
      <c r="G107" s="63"/>
      <c r="H107" s="67"/>
      <c r="I107" s="68"/>
      <c r="J107" s="68"/>
      <c r="K107" s="67" t="s">
        <v>7351</v>
      </c>
      <c r="L107" s="71"/>
      <c r="M107" s="72"/>
      <c r="N107" s="72"/>
      <c r="O107" s="73"/>
      <c r="P107" s="74"/>
      <c r="Q107" s="74"/>
      <c r="R107" s="86"/>
      <c r="S107" s="86"/>
      <c r="T107" s="86"/>
      <c r="U107" s="86"/>
      <c r="V107" s="48"/>
      <c r="W107" s="48"/>
      <c r="X107" s="48"/>
      <c r="Y107" s="48"/>
      <c r="Z107" s="47"/>
      <c r="AA107" s="69">
        <v>107</v>
      </c>
      <c r="AB107" s="69"/>
      <c r="AC107" s="70"/>
      <c r="AD107" s="76" t="s">
        <v>6235</v>
      </c>
      <c r="AE107" s="81" t="s">
        <v>5930</v>
      </c>
      <c r="AF107" s="76">
        <v>3</v>
      </c>
      <c r="AG107" s="76">
        <v>26</v>
      </c>
      <c r="AH107" s="76">
        <v>22</v>
      </c>
      <c r="AI107" s="76">
        <v>1</v>
      </c>
      <c r="AJ107" s="76">
        <v>212</v>
      </c>
      <c r="AK107" s="76">
        <v>3</v>
      </c>
      <c r="AL107" s="76" t="b">
        <v>0</v>
      </c>
      <c r="AM107" s="78">
        <v>44906.796736111108</v>
      </c>
      <c r="AN107" s="76"/>
      <c r="AO107" s="76" t="s">
        <v>6766</v>
      </c>
      <c r="AP107" s="76"/>
      <c r="AQ107" s="76"/>
      <c r="AR107" s="76"/>
      <c r="AS107" s="76"/>
      <c r="AT107" s="76"/>
      <c r="AU107" s="76"/>
      <c r="AV107" s="76"/>
      <c r="AW107" s="76"/>
      <c r="AX107" s="76" t="b">
        <v>0</v>
      </c>
      <c r="AY107" s="76"/>
      <c r="AZ107" s="76"/>
      <c r="BA107" s="76" t="b">
        <v>0</v>
      </c>
      <c r="BB107" s="76" t="b">
        <v>1</v>
      </c>
      <c r="BC107" s="76" t="b">
        <v>1</v>
      </c>
      <c r="BD107" s="76" t="b">
        <v>0</v>
      </c>
      <c r="BE107" s="76" t="b">
        <v>0</v>
      </c>
      <c r="BF107" s="76" t="b">
        <v>0</v>
      </c>
      <c r="BG107" s="76" t="b">
        <v>0</v>
      </c>
      <c r="BH107" s="76"/>
      <c r="BI107" s="76"/>
      <c r="BJ107" s="76" t="s">
        <v>7245</v>
      </c>
      <c r="BK107" s="76" t="b">
        <v>0</v>
      </c>
      <c r="BL107" s="76"/>
      <c r="BM107" s="76" t="s">
        <v>66</v>
      </c>
      <c r="BN107" s="76" t="s">
        <v>7247</v>
      </c>
      <c r="BO107" s="83" t="str">
        <f>HYPERLINK("https://twitter.com/cartianuel1725")</f>
        <v>https://twitter.com/cartianuel1725</v>
      </c>
      <c r="BP107" s="2"/>
    </row>
    <row r="108" spans="1:68" x14ac:dyDescent="0.25">
      <c r="A108" s="62" t="s">
        <v>326</v>
      </c>
      <c r="B108" s="63"/>
      <c r="C108" s="63"/>
      <c r="D108" s="64"/>
      <c r="E108" s="66"/>
      <c r="F108" s="102" t="str">
        <f>HYPERLINK("https://pbs.twimg.com/profile_images/1615711136329916426/PzoLLznO_normal.jpg")</f>
        <v>https://pbs.twimg.com/profile_images/1615711136329916426/PzoLLznO_normal.jpg</v>
      </c>
      <c r="G108" s="63"/>
      <c r="H108" s="67"/>
      <c r="I108" s="68"/>
      <c r="J108" s="68"/>
      <c r="K108" s="67" t="s">
        <v>7352</v>
      </c>
      <c r="L108" s="71"/>
      <c r="M108" s="72"/>
      <c r="N108" s="72"/>
      <c r="O108" s="73"/>
      <c r="P108" s="74"/>
      <c r="Q108" s="74"/>
      <c r="R108" s="86"/>
      <c r="S108" s="86"/>
      <c r="T108" s="86"/>
      <c r="U108" s="86"/>
      <c r="V108" s="48"/>
      <c r="W108" s="48"/>
      <c r="X108" s="48"/>
      <c r="Y108" s="48"/>
      <c r="Z108" s="47"/>
      <c r="AA108" s="69">
        <v>108</v>
      </c>
      <c r="AB108" s="69"/>
      <c r="AC108" s="70"/>
      <c r="AD108" s="76" t="s">
        <v>6236</v>
      </c>
      <c r="AE108" s="81" t="s">
        <v>5931</v>
      </c>
      <c r="AF108" s="76">
        <v>1</v>
      </c>
      <c r="AG108" s="76">
        <v>3</v>
      </c>
      <c r="AH108" s="76">
        <v>42</v>
      </c>
      <c r="AI108" s="76">
        <v>0</v>
      </c>
      <c r="AJ108" s="76">
        <v>0</v>
      </c>
      <c r="AK108" s="76">
        <v>42</v>
      </c>
      <c r="AL108" s="76" t="b">
        <v>0</v>
      </c>
      <c r="AM108" s="78">
        <v>44944.584108796298</v>
      </c>
      <c r="AN108" s="76"/>
      <c r="AO108" s="76" t="s">
        <v>6767</v>
      </c>
      <c r="AP108" s="76"/>
      <c r="AQ108" s="76"/>
      <c r="AR108" s="76"/>
      <c r="AS108" s="76"/>
      <c r="AT108" s="76"/>
      <c r="AU108" s="76"/>
      <c r="AV108" s="76"/>
      <c r="AW108" s="76"/>
      <c r="AX108" s="76" t="b">
        <v>0</v>
      </c>
      <c r="AY108" s="76"/>
      <c r="AZ108" s="76"/>
      <c r="BA108" s="76" t="b">
        <v>0</v>
      </c>
      <c r="BB108" s="76" t="b">
        <v>1</v>
      </c>
      <c r="BC108" s="76" t="b">
        <v>1</v>
      </c>
      <c r="BD108" s="76" t="b">
        <v>0</v>
      </c>
      <c r="BE108" s="76" t="b">
        <v>0</v>
      </c>
      <c r="BF108" s="76" t="b">
        <v>0</v>
      </c>
      <c r="BG108" s="76" t="b">
        <v>0</v>
      </c>
      <c r="BH108" s="83" t="str">
        <f>HYPERLINK("https://pbs.twimg.com/profile_banners/1615710773631664134/1674394766")</f>
        <v>https://pbs.twimg.com/profile_banners/1615710773631664134/1674394766</v>
      </c>
      <c r="BI108" s="76"/>
      <c r="BJ108" s="76" t="s">
        <v>7245</v>
      </c>
      <c r="BK108" s="76" t="b">
        <v>0</v>
      </c>
      <c r="BL108" s="76"/>
      <c r="BM108" s="76" t="s">
        <v>66</v>
      </c>
      <c r="BN108" s="76" t="s">
        <v>7247</v>
      </c>
      <c r="BO108" s="83" t="str">
        <f>HYPERLINK("https://twitter.com/deborarosacoach")</f>
        <v>https://twitter.com/deborarosacoach</v>
      </c>
      <c r="BP108" s="2"/>
    </row>
    <row r="109" spans="1:68" x14ac:dyDescent="0.25">
      <c r="A109" s="62" t="s">
        <v>327</v>
      </c>
      <c r="B109" s="63"/>
      <c r="C109" s="63"/>
      <c r="D109" s="64"/>
      <c r="E109" s="66"/>
      <c r="F109" s="102" t="str">
        <f>HYPERLINK("https://pbs.twimg.com/profile_images/1672324531053010948/ZGQMaENz_normal.jpg")</f>
        <v>https://pbs.twimg.com/profile_images/1672324531053010948/ZGQMaENz_normal.jpg</v>
      </c>
      <c r="G109" s="63"/>
      <c r="H109" s="67"/>
      <c r="I109" s="68"/>
      <c r="J109" s="68"/>
      <c r="K109" s="67" t="s">
        <v>7353</v>
      </c>
      <c r="L109" s="71"/>
      <c r="M109" s="72"/>
      <c r="N109" s="72"/>
      <c r="O109" s="73"/>
      <c r="P109" s="74"/>
      <c r="Q109" s="74"/>
      <c r="R109" s="86"/>
      <c r="S109" s="86"/>
      <c r="T109" s="86"/>
      <c r="U109" s="86"/>
      <c r="V109" s="48"/>
      <c r="W109" s="48"/>
      <c r="X109" s="48"/>
      <c r="Y109" s="48"/>
      <c r="Z109" s="47"/>
      <c r="AA109" s="69">
        <v>109</v>
      </c>
      <c r="AB109" s="69"/>
      <c r="AC109" s="70"/>
      <c r="AD109" s="76" t="s">
        <v>6237</v>
      </c>
      <c r="AE109" s="81" t="s">
        <v>5584</v>
      </c>
      <c r="AF109" s="76">
        <v>2</v>
      </c>
      <c r="AG109" s="76">
        <v>10</v>
      </c>
      <c r="AH109" s="76">
        <v>20</v>
      </c>
      <c r="AI109" s="76">
        <v>0</v>
      </c>
      <c r="AJ109" s="76">
        <v>13</v>
      </c>
      <c r="AK109" s="76">
        <v>4</v>
      </c>
      <c r="AL109" s="76" t="b">
        <v>0</v>
      </c>
      <c r="AM109" s="78">
        <v>44693.187210648146</v>
      </c>
      <c r="AN109" s="76" t="s">
        <v>3763</v>
      </c>
      <c r="AO109" s="76" t="s">
        <v>6768</v>
      </c>
      <c r="AP109" s="83" t="str">
        <f>HYPERLINK("https://t.co/KcJKioqomJ")</f>
        <v>https://t.co/KcJKioqomJ</v>
      </c>
      <c r="AQ109" s="83" t="str">
        <f>HYPERLINK("https://instagram.com/achadosdomarketin?igshid=ZDc4ODBmNjlmNQ==")</f>
        <v>https://instagram.com/achadosdomarketin?igshid=ZDc4ODBmNjlmNQ==</v>
      </c>
      <c r="AR109" s="76" t="s">
        <v>7062</v>
      </c>
      <c r="AS109" s="76"/>
      <c r="AT109" s="76"/>
      <c r="AU109" s="76"/>
      <c r="AV109" s="76">
        <v>1.526341282012E+18</v>
      </c>
      <c r="AW109" s="83" t="str">
        <f>HYPERLINK("https://t.co/KcJKioqomJ")</f>
        <v>https://t.co/KcJKioqomJ</v>
      </c>
      <c r="AX109" s="76" t="b">
        <v>0</v>
      </c>
      <c r="AY109" s="76"/>
      <c r="AZ109" s="76"/>
      <c r="BA109" s="76" t="b">
        <v>0</v>
      </c>
      <c r="BB109" s="76" t="b">
        <v>0</v>
      </c>
      <c r="BC109" s="76" t="b">
        <v>1</v>
      </c>
      <c r="BD109" s="76" t="b">
        <v>0</v>
      </c>
      <c r="BE109" s="76" t="b">
        <v>0</v>
      </c>
      <c r="BF109" s="76" t="b">
        <v>0</v>
      </c>
      <c r="BG109" s="76" t="b">
        <v>0</v>
      </c>
      <c r="BH109" s="83" t="str">
        <f>HYPERLINK("https://pbs.twimg.com/profile_banners/1524607646007021568/1687950246")</f>
        <v>https://pbs.twimg.com/profile_banners/1524607646007021568/1687950246</v>
      </c>
      <c r="BI109" s="76"/>
      <c r="BJ109" s="76" t="s">
        <v>7245</v>
      </c>
      <c r="BK109" s="76" t="b">
        <v>0</v>
      </c>
      <c r="BL109" s="76"/>
      <c r="BM109" s="76" t="s">
        <v>66</v>
      </c>
      <c r="BN109" s="76" t="s">
        <v>7247</v>
      </c>
      <c r="BO109" s="83" t="str">
        <f>HYPERLINK("https://twitter.com/achadosdomark")</f>
        <v>https://twitter.com/achadosdomark</v>
      </c>
      <c r="BP109" s="2"/>
    </row>
    <row r="110" spans="1:68" x14ac:dyDescent="0.25">
      <c r="A110" s="62" t="s">
        <v>328</v>
      </c>
      <c r="B110" s="63"/>
      <c r="C110" s="63"/>
      <c r="D110" s="64"/>
      <c r="E110" s="66"/>
      <c r="F110" s="102" t="str">
        <f>HYPERLINK("https://pbs.twimg.com/profile_images/1673901246057422851/0YuRxukL_normal.jpg")</f>
        <v>https://pbs.twimg.com/profile_images/1673901246057422851/0YuRxukL_normal.jpg</v>
      </c>
      <c r="G110" s="63"/>
      <c r="H110" s="67"/>
      <c r="I110" s="68"/>
      <c r="J110" s="68"/>
      <c r="K110" s="67" t="s">
        <v>7354</v>
      </c>
      <c r="L110" s="71"/>
      <c r="M110" s="72"/>
      <c r="N110" s="72"/>
      <c r="O110" s="73"/>
      <c r="P110" s="74"/>
      <c r="Q110" s="74"/>
      <c r="R110" s="86"/>
      <c r="S110" s="86"/>
      <c r="T110" s="86"/>
      <c r="U110" s="86"/>
      <c r="V110" s="48"/>
      <c r="W110" s="48"/>
      <c r="X110" s="48"/>
      <c r="Y110" s="48"/>
      <c r="Z110" s="47"/>
      <c r="AA110" s="69">
        <v>110</v>
      </c>
      <c r="AB110" s="69"/>
      <c r="AC110" s="70"/>
      <c r="AD110" s="76" t="s">
        <v>6238</v>
      </c>
      <c r="AE110" s="81" t="s">
        <v>6499</v>
      </c>
      <c r="AF110" s="76">
        <v>373</v>
      </c>
      <c r="AG110" s="76">
        <v>2355</v>
      </c>
      <c r="AH110" s="76">
        <v>12598</v>
      </c>
      <c r="AI110" s="76">
        <v>2</v>
      </c>
      <c r="AJ110" s="76">
        <v>15003</v>
      </c>
      <c r="AK110" s="76">
        <v>515</v>
      </c>
      <c r="AL110" s="76" t="b">
        <v>0</v>
      </c>
      <c r="AM110" s="78">
        <v>40478.190763888888</v>
      </c>
      <c r="AN110" s="76" t="s">
        <v>6599</v>
      </c>
      <c r="AO110" s="76" t="s">
        <v>6769</v>
      </c>
      <c r="AP110" s="76"/>
      <c r="AQ110" s="76"/>
      <c r="AR110" s="76"/>
      <c r="AS110" s="76"/>
      <c r="AT110" s="76"/>
      <c r="AU110" s="76"/>
      <c r="AV110" s="76"/>
      <c r="AW110" s="76"/>
      <c r="AX110" s="76" t="b">
        <v>0</v>
      </c>
      <c r="AY110" s="76"/>
      <c r="AZ110" s="76"/>
      <c r="BA110" s="76" t="b">
        <v>0</v>
      </c>
      <c r="BB110" s="76" t="b">
        <v>0</v>
      </c>
      <c r="BC110" s="76" t="b">
        <v>0</v>
      </c>
      <c r="BD110" s="76" t="b">
        <v>0</v>
      </c>
      <c r="BE110" s="76" t="b">
        <v>0</v>
      </c>
      <c r="BF110" s="76" t="b">
        <v>0</v>
      </c>
      <c r="BG110" s="76" t="b">
        <v>0</v>
      </c>
      <c r="BH110" s="83" t="str">
        <f>HYPERLINK("https://pbs.twimg.com/profile_banners/208372570/1687923674")</f>
        <v>https://pbs.twimg.com/profile_banners/208372570/1687923674</v>
      </c>
      <c r="BI110" s="76"/>
      <c r="BJ110" s="76" t="s">
        <v>7245</v>
      </c>
      <c r="BK110" s="76" t="b">
        <v>0</v>
      </c>
      <c r="BL110" s="76"/>
      <c r="BM110" s="76" t="s">
        <v>66</v>
      </c>
      <c r="BN110" s="76" t="s">
        <v>7247</v>
      </c>
      <c r="BO110" s="83" t="str">
        <f>HYPERLINK("https://twitter.com/brunno_brss")</f>
        <v>https://twitter.com/brunno_brss</v>
      </c>
      <c r="BP110" s="2"/>
    </row>
    <row r="111" spans="1:68" x14ac:dyDescent="0.25">
      <c r="A111" s="62" t="s">
        <v>329</v>
      </c>
      <c r="B111" s="63"/>
      <c r="C111" s="63"/>
      <c r="D111" s="64"/>
      <c r="E111" s="66"/>
      <c r="F111" s="102" t="str">
        <f>HYPERLINK("https://pbs.twimg.com/profile_images/1662248009768263680/YmEIVIwy_normal.jpg")</f>
        <v>https://pbs.twimg.com/profile_images/1662248009768263680/YmEIVIwy_normal.jpg</v>
      </c>
      <c r="G111" s="63"/>
      <c r="H111" s="67"/>
      <c r="I111" s="68"/>
      <c r="J111" s="68"/>
      <c r="K111" s="67" t="s">
        <v>7355</v>
      </c>
      <c r="L111" s="71"/>
      <c r="M111" s="72"/>
      <c r="N111" s="72"/>
      <c r="O111" s="73"/>
      <c r="P111" s="74"/>
      <c r="Q111" s="74"/>
      <c r="R111" s="86"/>
      <c r="S111" s="86"/>
      <c r="T111" s="86"/>
      <c r="U111" s="86"/>
      <c r="V111" s="48"/>
      <c r="W111" s="48"/>
      <c r="X111" s="48"/>
      <c r="Y111" s="48"/>
      <c r="Z111" s="47"/>
      <c r="AA111" s="69">
        <v>111</v>
      </c>
      <c r="AB111" s="69"/>
      <c r="AC111" s="70"/>
      <c r="AD111" s="76" t="s">
        <v>6239</v>
      </c>
      <c r="AE111" s="81" t="s">
        <v>5932</v>
      </c>
      <c r="AF111" s="76">
        <v>0</v>
      </c>
      <c r="AG111" s="76">
        <v>2</v>
      </c>
      <c r="AH111" s="76">
        <v>3</v>
      </c>
      <c r="AI111" s="76">
        <v>0</v>
      </c>
      <c r="AJ111" s="76">
        <v>0</v>
      </c>
      <c r="AK111" s="76">
        <v>3</v>
      </c>
      <c r="AL111" s="76" t="b">
        <v>0</v>
      </c>
      <c r="AM111" s="78">
        <v>45073.001828703702</v>
      </c>
      <c r="AN111" s="76"/>
      <c r="AO111" s="76" t="s">
        <v>6770</v>
      </c>
      <c r="AP111" s="76"/>
      <c r="AQ111" s="76"/>
      <c r="AR111" s="76"/>
      <c r="AS111" s="76"/>
      <c r="AT111" s="76"/>
      <c r="AU111" s="76"/>
      <c r="AV111" s="76"/>
      <c r="AW111" s="76"/>
      <c r="AX111" s="76" t="b">
        <v>0</v>
      </c>
      <c r="AY111" s="76"/>
      <c r="AZ111" s="76"/>
      <c r="BA111" s="76" t="b">
        <v>0</v>
      </c>
      <c r="BB111" s="76" t="b">
        <v>1</v>
      </c>
      <c r="BC111" s="76" t="b">
        <v>1</v>
      </c>
      <c r="BD111" s="76" t="b">
        <v>0</v>
      </c>
      <c r="BE111" s="76" t="b">
        <v>0</v>
      </c>
      <c r="BF111" s="76" t="b">
        <v>0</v>
      </c>
      <c r="BG111" s="76" t="b">
        <v>0</v>
      </c>
      <c r="BH111" s="83" t="str">
        <f>HYPERLINK("https://pbs.twimg.com/profile_banners/1662247847423516674/1685146124")</f>
        <v>https://pbs.twimg.com/profile_banners/1662247847423516674/1685146124</v>
      </c>
      <c r="BI111" s="76"/>
      <c r="BJ111" s="76" t="s">
        <v>7245</v>
      </c>
      <c r="BK111" s="76" t="b">
        <v>0</v>
      </c>
      <c r="BL111" s="76"/>
      <c r="BM111" s="76" t="s">
        <v>66</v>
      </c>
      <c r="BN111" s="76" t="s">
        <v>7247</v>
      </c>
      <c r="BO111" s="83" t="str">
        <f>HYPERLINK("https://twitter.com/eduardo_mp28")</f>
        <v>https://twitter.com/eduardo_mp28</v>
      </c>
      <c r="BP111" s="2"/>
    </row>
    <row r="112" spans="1:68" x14ac:dyDescent="0.25">
      <c r="A112" s="62" t="s">
        <v>330</v>
      </c>
      <c r="B112" s="63"/>
      <c r="C112" s="63"/>
      <c r="D112" s="64"/>
      <c r="E112" s="66"/>
      <c r="F112" s="102" t="str">
        <f>HYPERLINK("https://pbs.twimg.com/profile_images/1443312139167481866/j9R0NjYT_normal.jpg")</f>
        <v>https://pbs.twimg.com/profile_images/1443312139167481866/j9R0NjYT_normal.jpg</v>
      </c>
      <c r="G112" s="63"/>
      <c r="H112" s="67"/>
      <c r="I112" s="68"/>
      <c r="J112" s="68"/>
      <c r="K112" s="67" t="s">
        <v>7356</v>
      </c>
      <c r="L112" s="71"/>
      <c r="M112" s="72"/>
      <c r="N112" s="72"/>
      <c r="O112" s="73"/>
      <c r="P112" s="74"/>
      <c r="Q112" s="74"/>
      <c r="R112" s="86"/>
      <c r="S112" s="86"/>
      <c r="T112" s="86"/>
      <c r="U112" s="86"/>
      <c r="V112" s="48"/>
      <c r="W112" s="48"/>
      <c r="X112" s="48"/>
      <c r="Y112" s="48"/>
      <c r="Z112" s="47"/>
      <c r="AA112" s="69">
        <v>112</v>
      </c>
      <c r="AB112" s="69"/>
      <c r="AC112" s="70"/>
      <c r="AD112" s="76" t="s">
        <v>6240</v>
      </c>
      <c r="AE112" s="81" t="s">
        <v>6500</v>
      </c>
      <c r="AF112" s="76">
        <v>255</v>
      </c>
      <c r="AG112" s="76">
        <v>1078</v>
      </c>
      <c r="AH112" s="76">
        <v>1321</v>
      </c>
      <c r="AI112" s="76">
        <v>4</v>
      </c>
      <c r="AJ112" s="76">
        <v>11033</v>
      </c>
      <c r="AK112" s="76">
        <v>39</v>
      </c>
      <c r="AL112" s="76" t="b">
        <v>0</v>
      </c>
      <c r="AM112" s="78">
        <v>41462.559606481482</v>
      </c>
      <c r="AN112" s="76" t="s">
        <v>3761</v>
      </c>
      <c r="AO112" s="76" t="s">
        <v>6771</v>
      </c>
      <c r="AP112" s="83" t="str">
        <f>HYPERLINK("https://t.co/JGxEBYrcR8")</f>
        <v>https://t.co/JGxEBYrcR8</v>
      </c>
      <c r="AQ112" s="83" t="str">
        <f>HYPERLINK("http://www.brickto.io")</f>
        <v>http://www.brickto.io</v>
      </c>
      <c r="AR112" s="76" t="s">
        <v>7063</v>
      </c>
      <c r="AS112" s="76"/>
      <c r="AT112" s="76"/>
      <c r="AU112" s="76"/>
      <c r="AV112" s="76">
        <v>1.66868630614099E+18</v>
      </c>
      <c r="AW112" s="83" t="str">
        <f>HYPERLINK("https://t.co/JGxEBYrcR8")</f>
        <v>https://t.co/JGxEBYrcR8</v>
      </c>
      <c r="AX112" s="76" t="b">
        <v>0</v>
      </c>
      <c r="AY112" s="76"/>
      <c r="AZ112" s="76"/>
      <c r="BA112" s="76" t="b">
        <v>0</v>
      </c>
      <c r="BB112" s="76" t="b">
        <v>1</v>
      </c>
      <c r="BC112" s="76" t="b">
        <v>1</v>
      </c>
      <c r="BD112" s="76" t="b">
        <v>0</v>
      </c>
      <c r="BE112" s="76" t="b">
        <v>0</v>
      </c>
      <c r="BF112" s="76" t="b">
        <v>0</v>
      </c>
      <c r="BG112" s="76" t="b">
        <v>0</v>
      </c>
      <c r="BH112" s="83" t="str">
        <f>HYPERLINK("https://pbs.twimg.com/profile_banners/1575163700/1658515784")</f>
        <v>https://pbs.twimg.com/profile_banners/1575163700/1658515784</v>
      </c>
      <c r="BI112" s="76"/>
      <c r="BJ112" s="76" t="s">
        <v>7245</v>
      </c>
      <c r="BK112" s="76" t="b">
        <v>0</v>
      </c>
      <c r="BL112" s="76"/>
      <c r="BM112" s="76" t="s">
        <v>66</v>
      </c>
      <c r="BN112" s="76" t="s">
        <v>7247</v>
      </c>
      <c r="BO112" s="83" t="str">
        <f>HYPERLINK("https://twitter.com/rodlrod")</f>
        <v>https://twitter.com/rodlrod</v>
      </c>
      <c r="BP112" s="2"/>
    </row>
    <row r="113" spans="1:68" x14ac:dyDescent="0.25">
      <c r="A113" s="62" t="s">
        <v>331</v>
      </c>
      <c r="B113" s="63"/>
      <c r="C113" s="63"/>
      <c r="D113" s="64"/>
      <c r="E113" s="66"/>
      <c r="F113" s="102" t="str">
        <f>HYPERLINK("https://pbs.twimg.com/profile_images/1689377510700584960/POq7HoEV_normal.jpg")</f>
        <v>https://pbs.twimg.com/profile_images/1689377510700584960/POq7HoEV_normal.jpg</v>
      </c>
      <c r="G113" s="63"/>
      <c r="H113" s="67"/>
      <c r="I113" s="68"/>
      <c r="J113" s="68"/>
      <c r="K113" s="67" t="s">
        <v>7357</v>
      </c>
      <c r="L113" s="71"/>
      <c r="M113" s="72"/>
      <c r="N113" s="72"/>
      <c r="O113" s="73"/>
      <c r="P113" s="74"/>
      <c r="Q113" s="74"/>
      <c r="R113" s="86"/>
      <c r="S113" s="86"/>
      <c r="T113" s="86"/>
      <c r="U113" s="86"/>
      <c r="V113" s="48"/>
      <c r="W113" s="48"/>
      <c r="X113" s="48"/>
      <c r="Y113" s="48"/>
      <c r="Z113" s="47"/>
      <c r="AA113" s="69">
        <v>113</v>
      </c>
      <c r="AB113" s="69"/>
      <c r="AC113" s="70"/>
      <c r="AD113" s="76" t="s">
        <v>6241</v>
      </c>
      <c r="AE113" s="81" t="s">
        <v>5933</v>
      </c>
      <c r="AF113" s="76">
        <v>18</v>
      </c>
      <c r="AG113" s="76">
        <v>157</v>
      </c>
      <c r="AH113" s="76">
        <v>1031</v>
      </c>
      <c r="AI113" s="76">
        <v>0</v>
      </c>
      <c r="AJ113" s="76">
        <v>2588</v>
      </c>
      <c r="AK113" s="76">
        <v>921</v>
      </c>
      <c r="AL113" s="76" t="b">
        <v>0</v>
      </c>
      <c r="AM113" s="78">
        <v>44934.635949074072</v>
      </c>
      <c r="AN113" s="76" t="s">
        <v>3794</v>
      </c>
      <c r="AO113" s="76" t="s">
        <v>6772</v>
      </c>
      <c r="AP113" s="83" t="str">
        <f>HYPERLINK("https://t.co/7BUIJWt2F0")</f>
        <v>https://t.co/7BUIJWt2F0</v>
      </c>
      <c r="AQ113" s="83" t="str">
        <f>HYPERLINK("https://www.youtube.com/playlist?list=PLBeaxGVsgNiO0-tICLp1lrxB2h03hD2v2")</f>
        <v>https://www.youtube.com/playlist?list=PLBeaxGVsgNiO0-tICLp1lrxB2h03hD2v2</v>
      </c>
      <c r="AR113" s="76" t="s">
        <v>7064</v>
      </c>
      <c r="AS113" s="76"/>
      <c r="AT113" s="76"/>
      <c r="AU113" s="76"/>
      <c r="AV113" s="76"/>
      <c r="AW113" s="83" t="str">
        <f>HYPERLINK("https://t.co/7BUIJWt2F0")</f>
        <v>https://t.co/7BUIJWt2F0</v>
      </c>
      <c r="AX113" s="76" t="b">
        <v>0</v>
      </c>
      <c r="AY113" s="76"/>
      <c r="AZ113" s="76"/>
      <c r="BA113" s="76" t="b">
        <v>0</v>
      </c>
      <c r="BB113" s="76" t="b">
        <v>1</v>
      </c>
      <c r="BC113" s="76" t="b">
        <v>1</v>
      </c>
      <c r="BD113" s="76" t="b">
        <v>0</v>
      </c>
      <c r="BE113" s="76" t="b">
        <v>0</v>
      </c>
      <c r="BF113" s="76" t="b">
        <v>0</v>
      </c>
      <c r="BG113" s="76" t="b">
        <v>0</v>
      </c>
      <c r="BH113" s="83" t="str">
        <f>HYPERLINK("https://pbs.twimg.com/profile_banners/1612105648036012036/1694000880")</f>
        <v>https://pbs.twimg.com/profile_banners/1612105648036012036/1694000880</v>
      </c>
      <c r="BI113" s="76"/>
      <c r="BJ113" s="76" t="s">
        <v>7245</v>
      </c>
      <c r="BK113" s="76" t="b">
        <v>0</v>
      </c>
      <c r="BL113" s="76"/>
      <c r="BM113" s="76" t="s">
        <v>66</v>
      </c>
      <c r="BN113" s="76" t="s">
        <v>7247</v>
      </c>
      <c r="BO113" s="83" t="str">
        <f>HYPERLINK("https://twitter.com/sigler_marcia")</f>
        <v>https://twitter.com/sigler_marcia</v>
      </c>
      <c r="BP113" s="2"/>
    </row>
    <row r="114" spans="1:68" x14ac:dyDescent="0.25">
      <c r="A114" s="62" t="s">
        <v>332</v>
      </c>
      <c r="B114" s="63"/>
      <c r="C114" s="63"/>
      <c r="D114" s="64"/>
      <c r="E114" s="66"/>
      <c r="F114" s="102" t="str">
        <f>HYPERLINK("https://pbs.twimg.com/profile_images/1630192989946499073/6IqvnUb5_normal.jpg")</f>
        <v>https://pbs.twimg.com/profile_images/1630192989946499073/6IqvnUb5_normal.jpg</v>
      </c>
      <c r="G114" s="63"/>
      <c r="H114" s="67"/>
      <c r="I114" s="68"/>
      <c r="J114" s="68"/>
      <c r="K114" s="67" t="s">
        <v>7358</v>
      </c>
      <c r="L114" s="71"/>
      <c r="M114" s="72"/>
      <c r="N114" s="72"/>
      <c r="O114" s="73"/>
      <c r="P114" s="74"/>
      <c r="Q114" s="74"/>
      <c r="R114" s="86"/>
      <c r="S114" s="86"/>
      <c r="T114" s="86"/>
      <c r="U114" s="86"/>
      <c r="V114" s="48"/>
      <c r="W114" s="48"/>
      <c r="X114" s="48"/>
      <c r="Y114" s="48"/>
      <c r="Z114" s="47"/>
      <c r="AA114" s="69">
        <v>114</v>
      </c>
      <c r="AB114" s="69"/>
      <c r="AC114" s="70"/>
      <c r="AD114" s="76" t="s">
        <v>6242</v>
      </c>
      <c r="AE114" s="81" t="s">
        <v>5934</v>
      </c>
      <c r="AF114" s="76">
        <v>72</v>
      </c>
      <c r="AG114" s="76">
        <v>56</v>
      </c>
      <c r="AH114" s="76">
        <v>98</v>
      </c>
      <c r="AI114" s="76">
        <v>1</v>
      </c>
      <c r="AJ114" s="76">
        <v>42</v>
      </c>
      <c r="AK114" s="76">
        <v>10</v>
      </c>
      <c r="AL114" s="76" t="b">
        <v>0</v>
      </c>
      <c r="AM114" s="78">
        <v>44984.542847222219</v>
      </c>
      <c r="AN114" s="76" t="s">
        <v>3752</v>
      </c>
      <c r="AO114" s="76" t="s">
        <v>6773</v>
      </c>
      <c r="AP114" s="76"/>
      <c r="AQ114" s="76"/>
      <c r="AR114" s="76"/>
      <c r="AS114" s="76"/>
      <c r="AT114" s="76"/>
      <c r="AU114" s="76"/>
      <c r="AV114" s="76"/>
      <c r="AW114" s="76"/>
      <c r="AX114" s="76" t="b">
        <v>0</v>
      </c>
      <c r="AY114" s="76"/>
      <c r="AZ114" s="76"/>
      <c r="BA114" s="76" t="b">
        <v>0</v>
      </c>
      <c r="BB114" s="76" t="b">
        <v>1</v>
      </c>
      <c r="BC114" s="76" t="b">
        <v>1</v>
      </c>
      <c r="BD114" s="76" t="b">
        <v>0</v>
      </c>
      <c r="BE114" s="76" t="b">
        <v>0</v>
      </c>
      <c r="BF114" s="76" t="b">
        <v>0</v>
      </c>
      <c r="BG114" s="76" t="b">
        <v>0</v>
      </c>
      <c r="BH114" s="83" t="str">
        <f>HYPERLINK("https://pbs.twimg.com/profile_banners/1630191287126073344/1677517611")</f>
        <v>https://pbs.twimg.com/profile_banners/1630191287126073344/1677517611</v>
      </c>
      <c r="BI114" s="76"/>
      <c r="BJ114" s="76" t="s">
        <v>7245</v>
      </c>
      <c r="BK114" s="76" t="b">
        <v>0</v>
      </c>
      <c r="BL114" s="76"/>
      <c r="BM114" s="76" t="s">
        <v>66</v>
      </c>
      <c r="BN114" s="76" t="s">
        <v>7247</v>
      </c>
      <c r="BO114" s="83" t="str">
        <f>HYPERLINK("https://twitter.com/comoreinventar")</f>
        <v>https://twitter.com/comoreinventar</v>
      </c>
      <c r="BP114" s="2"/>
    </row>
    <row r="115" spans="1:68" x14ac:dyDescent="0.25">
      <c r="A115" s="62" t="s">
        <v>333</v>
      </c>
      <c r="B115" s="63"/>
      <c r="C115" s="63"/>
      <c r="D115" s="64"/>
      <c r="E115" s="66"/>
      <c r="F115" s="102" t="str">
        <f>HYPERLINK("https://pbs.twimg.com/profile_images/1670472902548881408/53JoE7v2_normal.jpg")</f>
        <v>https://pbs.twimg.com/profile_images/1670472902548881408/53JoE7v2_normal.jpg</v>
      </c>
      <c r="G115" s="63"/>
      <c r="H115" s="67"/>
      <c r="I115" s="68"/>
      <c r="J115" s="68"/>
      <c r="K115" s="67" t="s">
        <v>7359</v>
      </c>
      <c r="L115" s="71"/>
      <c r="M115" s="72"/>
      <c r="N115" s="72"/>
      <c r="O115" s="73"/>
      <c r="P115" s="74"/>
      <c r="Q115" s="74"/>
      <c r="R115" s="86"/>
      <c r="S115" s="86"/>
      <c r="T115" s="86"/>
      <c r="U115" s="86"/>
      <c r="V115" s="48"/>
      <c r="W115" s="48"/>
      <c r="X115" s="48"/>
      <c r="Y115" s="48"/>
      <c r="Z115" s="47"/>
      <c r="AA115" s="69">
        <v>115</v>
      </c>
      <c r="AB115" s="69"/>
      <c r="AC115" s="70"/>
      <c r="AD115" s="76" t="s">
        <v>6243</v>
      </c>
      <c r="AE115" s="81" t="s">
        <v>5935</v>
      </c>
      <c r="AF115" s="76">
        <v>4</v>
      </c>
      <c r="AG115" s="76">
        <v>32</v>
      </c>
      <c r="AH115" s="76">
        <v>49</v>
      </c>
      <c r="AI115" s="76">
        <v>0</v>
      </c>
      <c r="AJ115" s="76">
        <v>0</v>
      </c>
      <c r="AK115" s="76">
        <v>18</v>
      </c>
      <c r="AL115" s="76" t="b">
        <v>0</v>
      </c>
      <c r="AM115" s="78">
        <v>45095.697152777779</v>
      </c>
      <c r="AN115" s="76"/>
      <c r="AO115" s="76" t="s">
        <v>6774</v>
      </c>
      <c r="AP115" s="83" t="str">
        <f>HYPERLINK("https://t.co/5BqwlGNbmV")</f>
        <v>https://t.co/5BqwlGNbmV</v>
      </c>
      <c r="AQ115" s="83" t="str">
        <f>HYPERLINK("https://ziontradeplatform.com/alparilk")</f>
        <v>https://ziontradeplatform.com/alparilk</v>
      </c>
      <c r="AR115" s="76" t="s">
        <v>7065</v>
      </c>
      <c r="AS115" s="76"/>
      <c r="AT115" s="76"/>
      <c r="AU115" s="76"/>
      <c r="AV115" s="76"/>
      <c r="AW115" s="83" t="str">
        <f>HYPERLINK("https://t.co/5BqwlGNbmV")</f>
        <v>https://t.co/5BqwlGNbmV</v>
      </c>
      <c r="AX115" s="76" t="b">
        <v>0</v>
      </c>
      <c r="AY115" s="76"/>
      <c r="AZ115" s="76"/>
      <c r="BA115" s="76" t="b">
        <v>0</v>
      </c>
      <c r="BB115" s="76" t="b">
        <v>1</v>
      </c>
      <c r="BC115" s="76" t="b">
        <v>1</v>
      </c>
      <c r="BD115" s="76" t="b">
        <v>0</v>
      </c>
      <c r="BE115" s="76" t="b">
        <v>0</v>
      </c>
      <c r="BF115" s="76" t="b">
        <v>0</v>
      </c>
      <c r="BG115" s="76" t="b">
        <v>0</v>
      </c>
      <c r="BH115" s="76"/>
      <c r="BI115" s="76"/>
      <c r="BJ115" s="76" t="s">
        <v>7245</v>
      </c>
      <c r="BK115" s="76" t="b">
        <v>0</v>
      </c>
      <c r="BL115" s="76"/>
      <c r="BM115" s="76" t="s">
        <v>66</v>
      </c>
      <c r="BN115" s="76" t="s">
        <v>7247</v>
      </c>
      <c r="BO115" s="83" t="str">
        <f>HYPERLINK("https://twitter.com/pammalpari")</f>
        <v>https://twitter.com/pammalpari</v>
      </c>
      <c r="BP115" s="2"/>
    </row>
    <row r="116" spans="1:68" x14ac:dyDescent="0.25">
      <c r="A116" s="62" t="s">
        <v>567</v>
      </c>
      <c r="B116" s="63"/>
      <c r="C116" s="63"/>
      <c r="D116" s="64"/>
      <c r="E116" s="66"/>
      <c r="F116" s="102" t="str">
        <f>HYPERLINK("https://pbs.twimg.com/profile_images/1427292844612595720/RC1YSvuT_normal.jpg")</f>
        <v>https://pbs.twimg.com/profile_images/1427292844612595720/RC1YSvuT_normal.jpg</v>
      </c>
      <c r="G116" s="63"/>
      <c r="H116" s="67"/>
      <c r="I116" s="68"/>
      <c r="J116" s="68"/>
      <c r="K116" s="67" t="s">
        <v>7360</v>
      </c>
      <c r="L116" s="71"/>
      <c r="M116" s="72"/>
      <c r="N116" s="72"/>
      <c r="O116" s="73"/>
      <c r="P116" s="74"/>
      <c r="Q116" s="74"/>
      <c r="R116" s="86"/>
      <c r="S116" s="86"/>
      <c r="T116" s="86"/>
      <c r="U116" s="86"/>
      <c r="V116" s="48"/>
      <c r="W116" s="48"/>
      <c r="X116" s="48"/>
      <c r="Y116" s="48"/>
      <c r="Z116" s="47"/>
      <c r="AA116" s="69">
        <v>116</v>
      </c>
      <c r="AB116" s="69"/>
      <c r="AC116" s="70"/>
      <c r="AD116" s="76" t="s">
        <v>6244</v>
      </c>
      <c r="AE116" s="81" t="s">
        <v>6501</v>
      </c>
      <c r="AF116" s="76">
        <v>79294944</v>
      </c>
      <c r="AG116" s="76">
        <v>1179</v>
      </c>
      <c r="AH116" s="76">
        <v>56548</v>
      </c>
      <c r="AI116" s="76">
        <v>79884</v>
      </c>
      <c r="AJ116" s="76">
        <v>6181</v>
      </c>
      <c r="AK116" s="76">
        <v>15682</v>
      </c>
      <c r="AL116" s="76" t="b">
        <v>0</v>
      </c>
      <c r="AM116" s="78">
        <v>39399.905393518522</v>
      </c>
      <c r="AN116" s="76" t="s">
        <v>6600</v>
      </c>
      <c r="AO116" s="76" t="s">
        <v>6775</v>
      </c>
      <c r="AP116" s="83" t="str">
        <f>HYPERLINK("https://t.co/bUisN3Y1A6")</f>
        <v>https://t.co/bUisN3Y1A6</v>
      </c>
      <c r="AQ116" s="83" t="str">
        <f>HYPERLINK("http://youtube.com")</f>
        <v>http://youtube.com</v>
      </c>
      <c r="AR116" s="76" t="s">
        <v>2140</v>
      </c>
      <c r="AS116" s="76"/>
      <c r="AT116" s="76"/>
      <c r="AU116" s="76"/>
      <c r="AV116" s="76"/>
      <c r="AW116" s="83" t="str">
        <f>HYPERLINK("https://t.co/bUisN3Y1A6")</f>
        <v>https://t.co/bUisN3Y1A6</v>
      </c>
      <c r="AX116" s="76" t="b">
        <v>1</v>
      </c>
      <c r="AY116" s="76"/>
      <c r="AZ116" s="76"/>
      <c r="BA116" s="76" t="b">
        <v>0</v>
      </c>
      <c r="BB116" s="76" t="b">
        <v>1</v>
      </c>
      <c r="BC116" s="76" t="b">
        <v>0</v>
      </c>
      <c r="BD116" s="76" t="b">
        <v>0</v>
      </c>
      <c r="BE116" s="76" t="b">
        <v>1</v>
      </c>
      <c r="BF116" s="76" t="b">
        <v>0</v>
      </c>
      <c r="BG116" s="76" t="b">
        <v>0</v>
      </c>
      <c r="BH116" s="83" t="str">
        <f>HYPERLINK("https://pbs.twimg.com/profile_banners/10228272/1694793799")</f>
        <v>https://pbs.twimg.com/profile_banners/10228272/1694793799</v>
      </c>
      <c r="BI116" s="76"/>
      <c r="BJ116" s="76" t="s">
        <v>7246</v>
      </c>
      <c r="BK116" s="76" t="b">
        <v>0</v>
      </c>
      <c r="BL116" s="76"/>
      <c r="BM116" s="76" t="s">
        <v>65</v>
      </c>
      <c r="BN116" s="76" t="s">
        <v>7247</v>
      </c>
      <c r="BO116" s="83" t="str">
        <f>HYPERLINK("https://twitter.com/youtube")</f>
        <v>https://twitter.com/youtube</v>
      </c>
      <c r="BP116" s="2"/>
    </row>
    <row r="117" spans="1:68" x14ac:dyDescent="0.25">
      <c r="A117" s="62" t="s">
        <v>334</v>
      </c>
      <c r="B117" s="63"/>
      <c r="C117" s="63"/>
      <c r="D117" s="64"/>
      <c r="E117" s="66"/>
      <c r="F117" s="102" t="str">
        <f>HYPERLINK("https://pbs.twimg.com/profile_images/1684455763500990464/V8dCdFoJ_normal.jpg")</f>
        <v>https://pbs.twimg.com/profile_images/1684455763500990464/V8dCdFoJ_normal.jpg</v>
      </c>
      <c r="G117" s="63"/>
      <c r="H117" s="67"/>
      <c r="I117" s="68"/>
      <c r="J117" s="68"/>
      <c r="K117" s="67" t="s">
        <v>7361</v>
      </c>
      <c r="L117" s="71"/>
      <c r="M117" s="72"/>
      <c r="N117" s="72"/>
      <c r="O117" s="73"/>
      <c r="P117" s="74"/>
      <c r="Q117" s="74"/>
      <c r="R117" s="86"/>
      <c r="S117" s="86"/>
      <c r="T117" s="86"/>
      <c r="U117" s="86"/>
      <c r="V117" s="48"/>
      <c r="W117" s="48"/>
      <c r="X117" s="48"/>
      <c r="Y117" s="48"/>
      <c r="Z117" s="47"/>
      <c r="AA117" s="69">
        <v>117</v>
      </c>
      <c r="AB117" s="69"/>
      <c r="AC117" s="70"/>
      <c r="AD117" s="76" t="s">
        <v>6245</v>
      </c>
      <c r="AE117" s="81" t="s">
        <v>5936</v>
      </c>
      <c r="AF117" s="76">
        <v>29</v>
      </c>
      <c r="AG117" s="76">
        <v>38</v>
      </c>
      <c r="AH117" s="76">
        <v>737</v>
      </c>
      <c r="AI117" s="76">
        <v>0</v>
      </c>
      <c r="AJ117" s="76">
        <v>37</v>
      </c>
      <c r="AK117" s="76">
        <v>277</v>
      </c>
      <c r="AL117" s="76" t="b">
        <v>0</v>
      </c>
      <c r="AM117" s="78">
        <v>43758.290636574071</v>
      </c>
      <c r="AN117" s="76" t="s">
        <v>6601</v>
      </c>
      <c r="AO117" s="76" t="s">
        <v>6776</v>
      </c>
      <c r="AP117" s="83" t="str">
        <f>HYPERLINK("https://t.co/Oc3fEm9Ng3")</f>
        <v>https://t.co/Oc3fEm9Ng3</v>
      </c>
      <c r="AQ117" s="83" t="str">
        <f>HYPERLINK("https://juliomauricio.com/")</f>
        <v>https://juliomauricio.com/</v>
      </c>
      <c r="AR117" s="76" t="s">
        <v>7066</v>
      </c>
      <c r="AS117" s="76"/>
      <c r="AT117" s="76"/>
      <c r="AU117" s="76"/>
      <c r="AV117" s="76"/>
      <c r="AW117" s="83" t="str">
        <f>HYPERLINK("https://t.co/Oc3fEm9Ng3")</f>
        <v>https://t.co/Oc3fEm9Ng3</v>
      </c>
      <c r="AX117" s="76" t="b">
        <v>0</v>
      </c>
      <c r="AY117" s="76"/>
      <c r="AZ117" s="76"/>
      <c r="BA117" s="76" t="b">
        <v>1</v>
      </c>
      <c r="BB117" s="76" t="b">
        <v>1</v>
      </c>
      <c r="BC117" s="76" t="b">
        <v>1</v>
      </c>
      <c r="BD117" s="76" t="b">
        <v>0</v>
      </c>
      <c r="BE117" s="76" t="b">
        <v>1</v>
      </c>
      <c r="BF117" s="76" t="b">
        <v>0</v>
      </c>
      <c r="BG117" s="76" t="b">
        <v>0</v>
      </c>
      <c r="BH117" s="83" t="str">
        <f>HYPERLINK("https://pbs.twimg.com/profile_banners/1185812324696907776/1690981682")</f>
        <v>https://pbs.twimg.com/profile_banners/1185812324696907776/1690981682</v>
      </c>
      <c r="BI117" s="76"/>
      <c r="BJ117" s="76" t="s">
        <v>7245</v>
      </c>
      <c r="BK117" s="76" t="b">
        <v>0</v>
      </c>
      <c r="BL117" s="76"/>
      <c r="BM117" s="76" t="s">
        <v>66</v>
      </c>
      <c r="BN117" s="76" t="s">
        <v>7247</v>
      </c>
      <c r="BO117" s="83" t="str">
        <f>HYPERLINK("https://twitter.com/juliomauriciojm")</f>
        <v>https://twitter.com/juliomauriciojm</v>
      </c>
      <c r="BP117" s="2"/>
    </row>
    <row r="118" spans="1:68" x14ac:dyDescent="0.25">
      <c r="A118" s="62" t="s">
        <v>335</v>
      </c>
      <c r="B118" s="63"/>
      <c r="C118" s="63"/>
      <c r="D118" s="64"/>
      <c r="E118" s="66"/>
      <c r="F118" s="102" t="str">
        <f>HYPERLINK("https://pbs.twimg.com/profile_images/1598118264575361024/ritEPKpv_normal.jpg")</f>
        <v>https://pbs.twimg.com/profile_images/1598118264575361024/ritEPKpv_normal.jpg</v>
      </c>
      <c r="G118" s="63"/>
      <c r="H118" s="67"/>
      <c r="I118" s="68"/>
      <c r="J118" s="68"/>
      <c r="K118" s="67" t="s">
        <v>7362</v>
      </c>
      <c r="L118" s="71"/>
      <c r="M118" s="72"/>
      <c r="N118" s="72"/>
      <c r="O118" s="73"/>
      <c r="P118" s="74"/>
      <c r="Q118" s="74"/>
      <c r="R118" s="86"/>
      <c r="S118" s="86"/>
      <c r="T118" s="86"/>
      <c r="U118" s="86"/>
      <c r="V118" s="48"/>
      <c r="W118" s="48"/>
      <c r="X118" s="48"/>
      <c r="Y118" s="48"/>
      <c r="Z118" s="47"/>
      <c r="AA118" s="69">
        <v>118</v>
      </c>
      <c r="AB118" s="69"/>
      <c r="AC118" s="70"/>
      <c r="AD118" s="76" t="s">
        <v>6246</v>
      </c>
      <c r="AE118" s="81" t="s">
        <v>6502</v>
      </c>
      <c r="AF118" s="76">
        <v>8635</v>
      </c>
      <c r="AG118" s="76">
        <v>1455</v>
      </c>
      <c r="AH118" s="76">
        <v>10387</v>
      </c>
      <c r="AI118" s="76">
        <v>40</v>
      </c>
      <c r="AJ118" s="76">
        <v>10064</v>
      </c>
      <c r="AK118" s="76">
        <v>2368</v>
      </c>
      <c r="AL118" s="76" t="b">
        <v>0</v>
      </c>
      <c r="AM118" s="78">
        <v>41578.560902777775</v>
      </c>
      <c r="AN118" s="76" t="s">
        <v>6602</v>
      </c>
      <c r="AO118" s="76" t="s">
        <v>6777</v>
      </c>
      <c r="AP118" s="83" t="str">
        <f>HYPERLINK("https://t.co/bjfpHHuubH")</f>
        <v>https://t.co/bjfpHHuubH</v>
      </c>
      <c r="AQ118" s="83" t="str">
        <f>HYPERLINK("http://Instagram.com/ibrahim_ali")</f>
        <v>http://Instagram.com/ibrahim_ali</v>
      </c>
      <c r="AR118" s="76" t="s">
        <v>7067</v>
      </c>
      <c r="AS118" s="76" t="s">
        <v>7205</v>
      </c>
      <c r="AT118" s="76" t="s">
        <v>7212</v>
      </c>
      <c r="AU118" s="76" t="s">
        <v>7226</v>
      </c>
      <c r="AV118" s="76">
        <v>1.5092019929874601E+18</v>
      </c>
      <c r="AW118" s="83" t="str">
        <f>HYPERLINK("https://t.co/bjfpHHuubH")</f>
        <v>https://t.co/bjfpHHuubH</v>
      </c>
      <c r="AX118" s="76" t="b">
        <v>1</v>
      </c>
      <c r="AY118" s="76"/>
      <c r="AZ118" s="76"/>
      <c r="BA118" s="76" t="b">
        <v>1</v>
      </c>
      <c r="BB118" s="76" t="b">
        <v>0</v>
      </c>
      <c r="BC118" s="76" t="b">
        <v>0</v>
      </c>
      <c r="BD118" s="76" t="b">
        <v>0</v>
      </c>
      <c r="BE118" s="76" t="b">
        <v>1</v>
      </c>
      <c r="BF118" s="76" t="b">
        <v>0</v>
      </c>
      <c r="BG118" s="76" t="b">
        <v>0</v>
      </c>
      <c r="BH118" s="83" t="str">
        <f>HYPERLINK("https://pbs.twimg.com/profile_banners/2166630715/1621569160")</f>
        <v>https://pbs.twimg.com/profile_banners/2166630715/1621569160</v>
      </c>
      <c r="BI118" s="76"/>
      <c r="BJ118" s="76" t="s">
        <v>7245</v>
      </c>
      <c r="BK118" s="76" t="b">
        <v>0</v>
      </c>
      <c r="BL118" s="76"/>
      <c r="BM118" s="76" t="s">
        <v>66</v>
      </c>
      <c r="BN118" s="76" t="s">
        <v>7247</v>
      </c>
      <c r="BO118" s="83" t="str">
        <f>HYPERLINK("https://twitter.com/ibrahimalireal")</f>
        <v>https://twitter.com/ibrahimalireal</v>
      </c>
      <c r="BP118" s="2"/>
    </row>
    <row r="119" spans="1:68" x14ac:dyDescent="0.25">
      <c r="A119" s="62" t="s">
        <v>336</v>
      </c>
      <c r="B119" s="63"/>
      <c r="C119" s="63"/>
      <c r="D119" s="64"/>
      <c r="E119" s="66"/>
      <c r="F119" s="102" t="str">
        <f>HYPERLINK("https://pbs.twimg.com/profile_images/1642804806589792256/h9tSjrS3_normal.jpg")</f>
        <v>https://pbs.twimg.com/profile_images/1642804806589792256/h9tSjrS3_normal.jpg</v>
      </c>
      <c r="G119" s="63"/>
      <c r="H119" s="67"/>
      <c r="I119" s="68"/>
      <c r="J119" s="68"/>
      <c r="K119" s="67" t="s">
        <v>7363</v>
      </c>
      <c r="L119" s="71"/>
      <c r="M119" s="72"/>
      <c r="N119" s="72"/>
      <c r="O119" s="73"/>
      <c r="P119" s="74"/>
      <c r="Q119" s="74"/>
      <c r="R119" s="86"/>
      <c r="S119" s="86"/>
      <c r="T119" s="86"/>
      <c r="U119" s="86"/>
      <c r="V119" s="48"/>
      <c r="W119" s="48"/>
      <c r="X119" s="48"/>
      <c r="Y119" s="48"/>
      <c r="Z119" s="47"/>
      <c r="AA119" s="69">
        <v>119</v>
      </c>
      <c r="AB119" s="69"/>
      <c r="AC119" s="70"/>
      <c r="AD119" s="76" t="s">
        <v>6247</v>
      </c>
      <c r="AE119" s="81" t="s">
        <v>6503</v>
      </c>
      <c r="AF119" s="76">
        <v>7299</v>
      </c>
      <c r="AG119" s="76">
        <v>1193</v>
      </c>
      <c r="AH119" s="76">
        <v>36557</v>
      </c>
      <c r="AI119" s="76">
        <v>149</v>
      </c>
      <c r="AJ119" s="76">
        <v>6208</v>
      </c>
      <c r="AK119" s="76">
        <v>1268</v>
      </c>
      <c r="AL119" s="76" t="b">
        <v>0</v>
      </c>
      <c r="AM119" s="78">
        <v>39899.678229166668</v>
      </c>
      <c r="AN119" s="76" t="s">
        <v>6603</v>
      </c>
      <c r="AO119" s="76" t="s">
        <v>6778</v>
      </c>
      <c r="AP119" s="83" t="str">
        <f>HYPERLINK("https://t.co/uEwaOgAFIY")</f>
        <v>https://t.co/uEwaOgAFIY</v>
      </c>
      <c r="AQ119" s="83" t="str">
        <f>HYPERLINK("https://linktr.ee/eddieoz")</f>
        <v>https://linktr.ee/eddieoz</v>
      </c>
      <c r="AR119" s="76" t="s">
        <v>7068</v>
      </c>
      <c r="AS119" s="83" t="str">
        <f>HYPERLINK("https://t.co/boyWUcz5eF")</f>
        <v>https://t.co/boyWUcz5eF</v>
      </c>
      <c r="AT119" s="83" t="str">
        <f>HYPERLINK("http://kick.com/eddieoz")</f>
        <v>http://kick.com/eddieoz</v>
      </c>
      <c r="AU119" s="76" t="s">
        <v>7227</v>
      </c>
      <c r="AV119" s="76">
        <v>1.7044827853002501E+18</v>
      </c>
      <c r="AW119" s="83" t="str">
        <f>HYPERLINK("https://t.co/uEwaOgAFIY")</f>
        <v>https://t.co/uEwaOgAFIY</v>
      </c>
      <c r="AX119" s="76" t="b">
        <v>0</v>
      </c>
      <c r="AY119" s="76"/>
      <c r="AZ119" s="76"/>
      <c r="BA119" s="76" t="b">
        <v>1</v>
      </c>
      <c r="BB119" s="76" t="b">
        <v>0</v>
      </c>
      <c r="BC119" s="76" t="b">
        <v>0</v>
      </c>
      <c r="BD119" s="76" t="b">
        <v>0</v>
      </c>
      <c r="BE119" s="76" t="b">
        <v>1</v>
      </c>
      <c r="BF119" s="76" t="b">
        <v>0</v>
      </c>
      <c r="BG119" s="76" t="b">
        <v>0</v>
      </c>
      <c r="BH119" s="83" t="str">
        <f>HYPERLINK("https://pbs.twimg.com/profile_banners/27036444/1620426354")</f>
        <v>https://pbs.twimg.com/profile_banners/27036444/1620426354</v>
      </c>
      <c r="BI119" s="76"/>
      <c r="BJ119" s="76" t="s">
        <v>7245</v>
      </c>
      <c r="BK119" s="76" t="b">
        <v>0</v>
      </c>
      <c r="BL119" s="76"/>
      <c r="BM119" s="76" t="s">
        <v>66</v>
      </c>
      <c r="BN119" s="76" t="s">
        <v>7247</v>
      </c>
      <c r="BO119" s="83" t="str">
        <f>HYPERLINK("https://twitter.com/eddieoz")</f>
        <v>https://twitter.com/eddieoz</v>
      </c>
      <c r="BP119" s="2"/>
    </row>
    <row r="120" spans="1:68" x14ac:dyDescent="0.25">
      <c r="A120" s="62" t="s">
        <v>337</v>
      </c>
      <c r="B120" s="63"/>
      <c r="C120" s="63"/>
      <c r="D120" s="64"/>
      <c r="E120" s="66"/>
      <c r="F120" s="102" t="str">
        <f>HYPERLINK("https://pbs.twimg.com/profile_images/1590218167116521473/vDJ6FjmE_normal.jpg")</f>
        <v>https://pbs.twimg.com/profile_images/1590218167116521473/vDJ6FjmE_normal.jpg</v>
      </c>
      <c r="G120" s="63"/>
      <c r="H120" s="67"/>
      <c r="I120" s="68"/>
      <c r="J120" s="68"/>
      <c r="K120" s="67" t="s">
        <v>7364</v>
      </c>
      <c r="L120" s="71"/>
      <c r="M120" s="72"/>
      <c r="N120" s="72"/>
      <c r="O120" s="73"/>
      <c r="P120" s="74"/>
      <c r="Q120" s="74"/>
      <c r="R120" s="86"/>
      <c r="S120" s="86"/>
      <c r="T120" s="86"/>
      <c r="U120" s="86"/>
      <c r="V120" s="48"/>
      <c r="W120" s="48"/>
      <c r="X120" s="48"/>
      <c r="Y120" s="48"/>
      <c r="Z120" s="47"/>
      <c r="AA120" s="69">
        <v>120</v>
      </c>
      <c r="AB120" s="69"/>
      <c r="AC120" s="70"/>
      <c r="AD120" s="76" t="s">
        <v>6248</v>
      </c>
      <c r="AE120" s="81" t="s">
        <v>5937</v>
      </c>
      <c r="AF120" s="76">
        <v>2</v>
      </c>
      <c r="AG120" s="76">
        <v>0</v>
      </c>
      <c r="AH120" s="76">
        <v>197</v>
      </c>
      <c r="AI120" s="76">
        <v>0</v>
      </c>
      <c r="AJ120" s="76">
        <v>0</v>
      </c>
      <c r="AK120" s="76">
        <v>197</v>
      </c>
      <c r="AL120" s="76" t="b">
        <v>0</v>
      </c>
      <c r="AM120" s="78">
        <v>44865.217546296299</v>
      </c>
      <c r="AN120" s="76"/>
      <c r="AO120" s="76" t="s">
        <v>6779</v>
      </c>
      <c r="AP120" s="76"/>
      <c r="AQ120" s="76"/>
      <c r="AR120" s="76"/>
      <c r="AS120" s="76"/>
      <c r="AT120" s="76"/>
      <c r="AU120" s="76"/>
      <c r="AV120" s="76"/>
      <c r="AW120" s="76"/>
      <c r="AX120" s="76" t="b">
        <v>0</v>
      </c>
      <c r="AY120" s="76"/>
      <c r="AZ120" s="76"/>
      <c r="BA120" s="76" t="b">
        <v>0</v>
      </c>
      <c r="BB120" s="76" t="b">
        <v>1</v>
      </c>
      <c r="BC120" s="76" t="b">
        <v>1</v>
      </c>
      <c r="BD120" s="76" t="b">
        <v>0</v>
      </c>
      <c r="BE120" s="76" t="b">
        <v>0</v>
      </c>
      <c r="BF120" s="76" t="b">
        <v>0</v>
      </c>
      <c r="BG120" s="76" t="b">
        <v>0</v>
      </c>
      <c r="BH120" s="83" t="str">
        <f>HYPERLINK("https://pbs.twimg.com/profile_banners/1586949318900006912/1667980255")</f>
        <v>https://pbs.twimg.com/profile_banners/1586949318900006912/1667980255</v>
      </c>
      <c r="BI120" s="76"/>
      <c r="BJ120" s="76" t="s">
        <v>7245</v>
      </c>
      <c r="BK120" s="76" t="b">
        <v>0</v>
      </c>
      <c r="BL120" s="76"/>
      <c r="BM120" s="76" t="s">
        <v>66</v>
      </c>
      <c r="BN120" s="76" t="s">
        <v>7247</v>
      </c>
      <c r="BO120" s="83" t="str">
        <f>HYPERLINK("https://twitter.com/finvestmentor")</f>
        <v>https://twitter.com/finvestmentor</v>
      </c>
      <c r="BP120" s="2"/>
    </row>
    <row r="121" spans="1:68" x14ac:dyDescent="0.25">
      <c r="A121" s="62" t="s">
        <v>338</v>
      </c>
      <c r="B121" s="63"/>
      <c r="C121" s="63"/>
      <c r="D121" s="64"/>
      <c r="E121" s="66"/>
      <c r="F121" s="102" t="str">
        <f>HYPERLINK("https://pbs.twimg.com/profile_images/1635494256583364609/ag1fGics_normal.jpg")</f>
        <v>https://pbs.twimg.com/profile_images/1635494256583364609/ag1fGics_normal.jpg</v>
      </c>
      <c r="G121" s="63"/>
      <c r="H121" s="67"/>
      <c r="I121" s="68"/>
      <c r="J121" s="68"/>
      <c r="K121" s="67" t="s">
        <v>7365</v>
      </c>
      <c r="L121" s="71"/>
      <c r="M121" s="72"/>
      <c r="N121" s="72"/>
      <c r="O121" s="73"/>
      <c r="P121" s="74"/>
      <c r="Q121" s="74"/>
      <c r="R121" s="86"/>
      <c r="S121" s="86"/>
      <c r="T121" s="86"/>
      <c r="U121" s="86"/>
      <c r="V121" s="48"/>
      <c r="W121" s="48"/>
      <c r="X121" s="48"/>
      <c r="Y121" s="48"/>
      <c r="Z121" s="47"/>
      <c r="AA121" s="69">
        <v>121</v>
      </c>
      <c r="AB121" s="69"/>
      <c r="AC121" s="70"/>
      <c r="AD121" s="76" t="s">
        <v>6249</v>
      </c>
      <c r="AE121" s="81" t="s">
        <v>5938</v>
      </c>
      <c r="AF121" s="76">
        <v>0</v>
      </c>
      <c r="AG121" s="76">
        <v>7</v>
      </c>
      <c r="AH121" s="76">
        <v>28</v>
      </c>
      <c r="AI121" s="76">
        <v>0</v>
      </c>
      <c r="AJ121" s="76">
        <v>36</v>
      </c>
      <c r="AK121" s="76">
        <v>11</v>
      </c>
      <c r="AL121" s="76" t="b">
        <v>0</v>
      </c>
      <c r="AM121" s="78">
        <v>44734.84337962963</v>
      </c>
      <c r="AN121" s="76" t="s">
        <v>6604</v>
      </c>
      <c r="AO121" s="76" t="s">
        <v>6780</v>
      </c>
      <c r="AP121" s="76"/>
      <c r="AQ121" s="76"/>
      <c r="AR121" s="76"/>
      <c r="AS121" s="76"/>
      <c r="AT121" s="76"/>
      <c r="AU121" s="76"/>
      <c r="AV121" s="76"/>
      <c r="AW121" s="76"/>
      <c r="AX121" s="76" t="b">
        <v>0</v>
      </c>
      <c r="AY121" s="76"/>
      <c r="AZ121" s="76"/>
      <c r="BA121" s="76" t="b">
        <v>0</v>
      </c>
      <c r="BB121" s="76" t="b">
        <v>1</v>
      </c>
      <c r="BC121" s="76" t="b">
        <v>1</v>
      </c>
      <c r="BD121" s="76" t="b">
        <v>0</v>
      </c>
      <c r="BE121" s="76" t="b">
        <v>0</v>
      </c>
      <c r="BF121" s="76" t="b">
        <v>0</v>
      </c>
      <c r="BG121" s="76" t="b">
        <v>0</v>
      </c>
      <c r="BH121" s="83" t="str">
        <f>HYPERLINK("https://pbs.twimg.com/profile_banners/1539703354884079616/1655930127")</f>
        <v>https://pbs.twimg.com/profile_banners/1539703354884079616/1655930127</v>
      </c>
      <c r="BI121" s="76"/>
      <c r="BJ121" s="76" t="s">
        <v>7245</v>
      </c>
      <c r="BK121" s="76" t="b">
        <v>0</v>
      </c>
      <c r="BL121" s="76"/>
      <c r="BM121" s="76" t="s">
        <v>66</v>
      </c>
      <c r="BN121" s="76" t="s">
        <v>7247</v>
      </c>
      <c r="BO121" s="83" t="str">
        <f>HYPERLINK("https://twitter.com/kevintirocerto")</f>
        <v>https://twitter.com/kevintirocerto</v>
      </c>
      <c r="BP121" s="2"/>
    </row>
    <row r="122" spans="1:68" x14ac:dyDescent="0.25">
      <c r="A122" s="62" t="s">
        <v>339</v>
      </c>
      <c r="B122" s="63"/>
      <c r="C122" s="63"/>
      <c r="D122" s="64"/>
      <c r="E122" s="66"/>
      <c r="F122" s="102" t="str">
        <f>HYPERLINK("https://pbs.twimg.com/profile_images/1611479098731253782/TrsDiLZO_normal.jpg")</f>
        <v>https://pbs.twimg.com/profile_images/1611479098731253782/TrsDiLZO_normal.jpg</v>
      </c>
      <c r="G122" s="63"/>
      <c r="H122" s="67"/>
      <c r="I122" s="68"/>
      <c r="J122" s="68"/>
      <c r="K122" s="67" t="s">
        <v>7366</v>
      </c>
      <c r="L122" s="71"/>
      <c r="M122" s="72"/>
      <c r="N122" s="72"/>
      <c r="O122" s="73"/>
      <c r="P122" s="74"/>
      <c r="Q122" s="74"/>
      <c r="R122" s="86"/>
      <c r="S122" s="86"/>
      <c r="T122" s="86"/>
      <c r="U122" s="86"/>
      <c r="V122" s="48"/>
      <c r="W122" s="48"/>
      <c r="X122" s="48"/>
      <c r="Y122" s="48"/>
      <c r="Z122" s="47"/>
      <c r="AA122" s="69">
        <v>122</v>
      </c>
      <c r="AB122" s="69"/>
      <c r="AC122" s="70"/>
      <c r="AD122" s="76" t="s">
        <v>6250</v>
      </c>
      <c r="AE122" s="81" t="s">
        <v>5939</v>
      </c>
      <c r="AF122" s="76">
        <v>8</v>
      </c>
      <c r="AG122" s="76">
        <v>31</v>
      </c>
      <c r="AH122" s="76">
        <v>10</v>
      </c>
      <c r="AI122" s="76">
        <v>1</v>
      </c>
      <c r="AJ122" s="76">
        <v>2</v>
      </c>
      <c r="AK122" s="76">
        <v>6</v>
      </c>
      <c r="AL122" s="76" t="b">
        <v>0</v>
      </c>
      <c r="AM122" s="78">
        <v>44932.893506944441</v>
      </c>
      <c r="AN122" s="76" t="s">
        <v>6605</v>
      </c>
      <c r="AO122" s="76" t="s">
        <v>6781</v>
      </c>
      <c r="AP122" s="83" t="str">
        <f>HYPERLINK("https://t.co/EN8hmilAEL")</f>
        <v>https://t.co/EN8hmilAEL</v>
      </c>
      <c r="AQ122" s="83" t="str">
        <f>HYPERLINK("https://rioinvestcriptoeco.wixsite.com/my-site?fbclid=PAAaaT-twXXLn63pJlvC9JAAp86Pm-oRRNUu25MUuRQzL6")</f>
        <v>https://rioinvestcriptoeco.wixsite.com/my-site?fbclid=PAAaaT-twXXLn63pJlvC9JAAp86Pm-oRRNUu25MUuRQzL6</v>
      </c>
      <c r="AR122" s="76" t="s">
        <v>7069</v>
      </c>
      <c r="AS122" s="76"/>
      <c r="AT122" s="76"/>
      <c r="AU122" s="76"/>
      <c r="AV122" s="76"/>
      <c r="AW122" s="83" t="str">
        <f>HYPERLINK("https://t.co/EN8hmilAEL")</f>
        <v>https://t.co/EN8hmilAEL</v>
      </c>
      <c r="AX122" s="76" t="b">
        <v>0</v>
      </c>
      <c r="AY122" s="76"/>
      <c r="AZ122" s="76"/>
      <c r="BA122" s="76" t="b">
        <v>0</v>
      </c>
      <c r="BB122" s="76" t="b">
        <v>1</v>
      </c>
      <c r="BC122" s="76" t="b">
        <v>1</v>
      </c>
      <c r="BD122" s="76" t="b">
        <v>0</v>
      </c>
      <c r="BE122" s="76" t="b">
        <v>0</v>
      </c>
      <c r="BF122" s="76" t="b">
        <v>0</v>
      </c>
      <c r="BG122" s="76" t="b">
        <v>0</v>
      </c>
      <c r="BH122" s="76"/>
      <c r="BI122" s="76"/>
      <c r="BJ122" s="76" t="s">
        <v>7245</v>
      </c>
      <c r="BK122" s="76" t="b">
        <v>0</v>
      </c>
      <c r="BL122" s="76"/>
      <c r="BM122" s="76" t="s">
        <v>66</v>
      </c>
      <c r="BN122" s="76" t="s">
        <v>7247</v>
      </c>
      <c r="BO122" s="83" t="str">
        <f>HYPERLINK("https://twitter.com/wilsondesousa_")</f>
        <v>https://twitter.com/wilsondesousa_</v>
      </c>
      <c r="BP122" s="2"/>
    </row>
    <row r="123" spans="1:68" x14ac:dyDescent="0.25">
      <c r="A123" s="62" t="s">
        <v>340</v>
      </c>
      <c r="B123" s="63"/>
      <c r="C123" s="63"/>
      <c r="D123" s="64"/>
      <c r="E123" s="66"/>
      <c r="F123" s="102" t="str">
        <f>HYPERLINK("https://pbs.twimg.com/profile_images/1687155107958308869/HmGGkDjA_normal.jpg")</f>
        <v>https://pbs.twimg.com/profile_images/1687155107958308869/HmGGkDjA_normal.jpg</v>
      </c>
      <c r="G123" s="63"/>
      <c r="H123" s="67"/>
      <c r="I123" s="68"/>
      <c r="J123" s="68"/>
      <c r="K123" s="67" t="s">
        <v>7367</v>
      </c>
      <c r="L123" s="71"/>
      <c r="M123" s="72"/>
      <c r="N123" s="72"/>
      <c r="O123" s="73"/>
      <c r="P123" s="74"/>
      <c r="Q123" s="74"/>
      <c r="R123" s="86"/>
      <c r="S123" s="86"/>
      <c r="T123" s="86"/>
      <c r="U123" s="86"/>
      <c r="V123" s="48"/>
      <c r="W123" s="48"/>
      <c r="X123" s="48"/>
      <c r="Y123" s="48"/>
      <c r="Z123" s="47"/>
      <c r="AA123" s="69">
        <v>123</v>
      </c>
      <c r="AB123" s="69"/>
      <c r="AC123" s="70"/>
      <c r="AD123" s="76" t="s">
        <v>6251</v>
      </c>
      <c r="AE123" s="81" t="s">
        <v>5940</v>
      </c>
      <c r="AF123" s="76">
        <v>10</v>
      </c>
      <c r="AG123" s="76">
        <v>1</v>
      </c>
      <c r="AH123" s="76">
        <v>1115</v>
      </c>
      <c r="AI123" s="76">
        <v>2</v>
      </c>
      <c r="AJ123" s="76">
        <v>6</v>
      </c>
      <c r="AK123" s="76">
        <v>426</v>
      </c>
      <c r="AL123" s="76" t="b">
        <v>0</v>
      </c>
      <c r="AM123" s="78">
        <v>44341.952256944445</v>
      </c>
      <c r="AN123" s="76" t="s">
        <v>3760</v>
      </c>
      <c r="AO123" s="76" t="s">
        <v>6782</v>
      </c>
      <c r="AP123" s="83" t="str">
        <f>HYPERLINK("https://t.co/sIza9fVR6X")</f>
        <v>https://t.co/sIza9fVR6X</v>
      </c>
      <c r="AQ123" s="83" t="str">
        <f>HYPERLINK("http://www.bancoatitude.com.br")</f>
        <v>http://www.bancoatitude.com.br</v>
      </c>
      <c r="AR123" s="76" t="s">
        <v>7070</v>
      </c>
      <c r="AS123" s="76" t="s">
        <v>7206</v>
      </c>
      <c r="AT123" s="76" t="s">
        <v>7213</v>
      </c>
      <c r="AU123" s="76" t="s">
        <v>7228</v>
      </c>
      <c r="AV123" s="76">
        <v>1.5952083389329001E+18</v>
      </c>
      <c r="AW123" s="83" t="str">
        <f>HYPERLINK("https://t.co/sIza9fVR6X")</f>
        <v>https://t.co/sIza9fVR6X</v>
      </c>
      <c r="AX123" s="76" t="b">
        <v>0</v>
      </c>
      <c r="AY123" s="76"/>
      <c r="AZ123" s="76"/>
      <c r="BA123" s="76" t="b">
        <v>0</v>
      </c>
      <c r="BB123" s="76" t="b">
        <v>1</v>
      </c>
      <c r="BC123" s="76" t="b">
        <v>1</v>
      </c>
      <c r="BD123" s="76" t="b">
        <v>0</v>
      </c>
      <c r="BE123" s="76" t="b">
        <v>0</v>
      </c>
      <c r="BF123" s="76" t="b">
        <v>0</v>
      </c>
      <c r="BG123" s="76" t="b">
        <v>0</v>
      </c>
      <c r="BH123" s="83" t="str">
        <f>HYPERLINK("https://pbs.twimg.com/profile_banners/1397324365268766723/1691084125")</f>
        <v>https://pbs.twimg.com/profile_banners/1397324365268766723/1691084125</v>
      </c>
      <c r="BI123" s="76"/>
      <c r="BJ123" s="76" t="s">
        <v>7245</v>
      </c>
      <c r="BK123" s="76" t="b">
        <v>0</v>
      </c>
      <c r="BL123" s="76"/>
      <c r="BM123" s="76" t="s">
        <v>66</v>
      </c>
      <c r="BN123" s="76" t="s">
        <v>7247</v>
      </c>
      <c r="BO123" s="83" t="str">
        <f>HYPERLINK("https://twitter.com/bancoatitude")</f>
        <v>https://twitter.com/bancoatitude</v>
      </c>
      <c r="BP123" s="2"/>
    </row>
    <row r="124" spans="1:68" x14ac:dyDescent="0.25">
      <c r="A124" s="62" t="s">
        <v>341</v>
      </c>
      <c r="B124" s="63"/>
      <c r="C124" s="63"/>
      <c r="D124" s="64"/>
      <c r="E124" s="66"/>
      <c r="F124" s="102" t="str">
        <f>HYPERLINK("https://pbs.twimg.com/profile_images/1615695424265879552/BaZFnuIu_normal.jpg")</f>
        <v>https://pbs.twimg.com/profile_images/1615695424265879552/BaZFnuIu_normal.jpg</v>
      </c>
      <c r="G124" s="63"/>
      <c r="H124" s="67"/>
      <c r="I124" s="68"/>
      <c r="J124" s="68"/>
      <c r="K124" s="67" t="s">
        <v>7368</v>
      </c>
      <c r="L124" s="71"/>
      <c r="M124" s="72"/>
      <c r="N124" s="72"/>
      <c r="O124" s="73"/>
      <c r="P124" s="74"/>
      <c r="Q124" s="74"/>
      <c r="R124" s="86"/>
      <c r="S124" s="86"/>
      <c r="T124" s="86"/>
      <c r="U124" s="86"/>
      <c r="V124" s="48"/>
      <c r="W124" s="48"/>
      <c r="X124" s="48"/>
      <c r="Y124" s="48"/>
      <c r="Z124" s="47"/>
      <c r="AA124" s="69">
        <v>124</v>
      </c>
      <c r="AB124" s="69"/>
      <c r="AC124" s="70"/>
      <c r="AD124" s="76" t="s">
        <v>6252</v>
      </c>
      <c r="AE124" s="81" t="s">
        <v>5585</v>
      </c>
      <c r="AF124" s="76">
        <v>46</v>
      </c>
      <c r="AG124" s="76">
        <v>332</v>
      </c>
      <c r="AH124" s="76">
        <v>1113</v>
      </c>
      <c r="AI124" s="76">
        <v>0</v>
      </c>
      <c r="AJ124" s="76">
        <v>9880</v>
      </c>
      <c r="AK124" s="76">
        <v>114</v>
      </c>
      <c r="AL124" s="76" t="b">
        <v>0</v>
      </c>
      <c r="AM124" s="78">
        <v>44059.351539351854</v>
      </c>
      <c r="AN124" s="76" t="s">
        <v>3762</v>
      </c>
      <c r="AO124" s="76" t="s">
        <v>6783</v>
      </c>
      <c r="AP124" s="83" t="str">
        <f>HYPERLINK("https://t.co/HMKzY6iK0Q")</f>
        <v>https://t.co/HMKzY6iK0Q</v>
      </c>
      <c r="AQ124" s="83" t="str">
        <f>HYPERLINK("https://linktr.ee/barcecripto")</f>
        <v>https://linktr.ee/barcecripto</v>
      </c>
      <c r="AR124" s="76" t="s">
        <v>7071</v>
      </c>
      <c r="AS124" s="76"/>
      <c r="AT124" s="76"/>
      <c r="AU124" s="76"/>
      <c r="AV124" s="76">
        <v>1.70271778055694E+18</v>
      </c>
      <c r="AW124" s="83" t="str">
        <f>HYPERLINK("https://t.co/HMKzY6iK0Q")</f>
        <v>https://t.co/HMKzY6iK0Q</v>
      </c>
      <c r="AX124" s="76" t="b">
        <v>0</v>
      </c>
      <c r="AY124" s="76"/>
      <c r="AZ124" s="76"/>
      <c r="BA124" s="76" t="b">
        <v>1</v>
      </c>
      <c r="BB124" s="76" t="b">
        <v>1</v>
      </c>
      <c r="BC124" s="76" t="b">
        <v>1</v>
      </c>
      <c r="BD124" s="76" t="b">
        <v>0</v>
      </c>
      <c r="BE124" s="76" t="b">
        <v>1</v>
      </c>
      <c r="BF124" s="76" t="b">
        <v>0</v>
      </c>
      <c r="BG124" s="76" t="b">
        <v>0</v>
      </c>
      <c r="BH124" s="83" t="str">
        <f>HYPERLINK("https://pbs.twimg.com/profile_banners/1294913256008617986/1653229318")</f>
        <v>https://pbs.twimg.com/profile_banners/1294913256008617986/1653229318</v>
      </c>
      <c r="BI124" s="76"/>
      <c r="BJ124" s="76" t="s">
        <v>7245</v>
      </c>
      <c r="BK124" s="76" t="b">
        <v>0</v>
      </c>
      <c r="BL124" s="76"/>
      <c r="BM124" s="76" t="s">
        <v>66</v>
      </c>
      <c r="BN124" s="76" t="s">
        <v>7247</v>
      </c>
      <c r="BO124" s="83" t="str">
        <f>HYPERLINK("https://twitter.com/barcecripto")</f>
        <v>https://twitter.com/barcecripto</v>
      </c>
      <c r="BP124" s="2"/>
    </row>
    <row r="125" spans="1:68" x14ac:dyDescent="0.25">
      <c r="A125" s="62" t="s">
        <v>342</v>
      </c>
      <c r="B125" s="63"/>
      <c r="C125" s="63"/>
      <c r="D125" s="64"/>
      <c r="E125" s="66"/>
      <c r="F125" s="102" t="str">
        <f>HYPERLINK("https://pbs.twimg.com/profile_images/1676935667941605379/6dPvUKzE_normal.jpg")</f>
        <v>https://pbs.twimg.com/profile_images/1676935667941605379/6dPvUKzE_normal.jpg</v>
      </c>
      <c r="G125" s="63"/>
      <c r="H125" s="67"/>
      <c r="I125" s="68"/>
      <c r="J125" s="68"/>
      <c r="K125" s="67" t="s">
        <v>7369</v>
      </c>
      <c r="L125" s="71"/>
      <c r="M125" s="72"/>
      <c r="N125" s="72"/>
      <c r="O125" s="73"/>
      <c r="P125" s="74"/>
      <c r="Q125" s="74"/>
      <c r="R125" s="86"/>
      <c r="S125" s="86"/>
      <c r="T125" s="86"/>
      <c r="U125" s="86"/>
      <c r="V125" s="48"/>
      <c r="W125" s="48"/>
      <c r="X125" s="48"/>
      <c r="Y125" s="48"/>
      <c r="Z125" s="47"/>
      <c r="AA125" s="69">
        <v>125</v>
      </c>
      <c r="AB125" s="69"/>
      <c r="AC125" s="70"/>
      <c r="AD125" s="76" t="s">
        <v>6253</v>
      </c>
      <c r="AE125" s="81" t="s">
        <v>6504</v>
      </c>
      <c r="AF125" s="76">
        <v>78</v>
      </c>
      <c r="AG125" s="76">
        <v>1044</v>
      </c>
      <c r="AH125" s="76">
        <v>848</v>
      </c>
      <c r="AI125" s="76">
        <v>0</v>
      </c>
      <c r="AJ125" s="76">
        <v>1583</v>
      </c>
      <c r="AK125" s="76">
        <v>416</v>
      </c>
      <c r="AL125" s="76" t="b">
        <v>0</v>
      </c>
      <c r="AM125" s="78">
        <v>42149.142129629632</v>
      </c>
      <c r="AN125" s="76" t="s">
        <v>6606</v>
      </c>
      <c r="AO125" s="76" t="s">
        <v>6784</v>
      </c>
      <c r="AP125" s="83" t="str">
        <f>HYPERLINK("https://t.co/Ds6cHSMHCP")</f>
        <v>https://t.co/Ds6cHSMHCP</v>
      </c>
      <c r="AQ125" s="83" t="str">
        <f>HYPERLINK("https://linktr.ee/JulianaOliveiraOfficial")</f>
        <v>https://linktr.ee/JulianaOliveiraOfficial</v>
      </c>
      <c r="AR125" s="76" t="s">
        <v>7072</v>
      </c>
      <c r="AS125" s="76"/>
      <c r="AT125" s="76"/>
      <c r="AU125" s="76"/>
      <c r="AV125" s="76">
        <v>1.67694623553266E+18</v>
      </c>
      <c r="AW125" s="83" t="str">
        <f>HYPERLINK("https://t.co/Ds6cHSMHCP")</f>
        <v>https://t.co/Ds6cHSMHCP</v>
      </c>
      <c r="AX125" s="76" t="b">
        <v>0</v>
      </c>
      <c r="AY125" s="76"/>
      <c r="AZ125" s="76"/>
      <c r="BA125" s="76" t="b">
        <v>1</v>
      </c>
      <c r="BB125" s="76" t="b">
        <v>1</v>
      </c>
      <c r="BC125" s="76" t="b">
        <v>1</v>
      </c>
      <c r="BD125" s="76" t="b">
        <v>0</v>
      </c>
      <c r="BE125" s="76" t="b">
        <v>1</v>
      </c>
      <c r="BF125" s="76" t="b">
        <v>0</v>
      </c>
      <c r="BG125" s="76" t="b">
        <v>0</v>
      </c>
      <c r="BH125" s="83" t="str">
        <f>HYPERLINK("https://pbs.twimg.com/profile_banners/3297338187/1687307808")</f>
        <v>https://pbs.twimg.com/profile_banners/3297338187/1687307808</v>
      </c>
      <c r="BI125" s="76"/>
      <c r="BJ125" s="76" t="s">
        <v>7245</v>
      </c>
      <c r="BK125" s="76" t="b">
        <v>0</v>
      </c>
      <c r="BL125" s="76"/>
      <c r="BM125" s="76" t="s">
        <v>66</v>
      </c>
      <c r="BN125" s="76" t="s">
        <v>7247</v>
      </c>
      <c r="BO125" s="83" t="str">
        <f>HYPERLINK("https://twitter.com/juliana_perfil_")</f>
        <v>https://twitter.com/juliana_perfil_</v>
      </c>
      <c r="BP125" s="2"/>
    </row>
    <row r="126" spans="1:68" x14ac:dyDescent="0.25">
      <c r="A126" s="62" t="s">
        <v>343</v>
      </c>
      <c r="B126" s="63"/>
      <c r="C126" s="63"/>
      <c r="D126" s="64"/>
      <c r="E126" s="66"/>
      <c r="F126" s="102" t="str">
        <f>HYPERLINK("https://pbs.twimg.com/profile_images/1676606286908014593/DtpkYvWm_normal.jpg")</f>
        <v>https://pbs.twimg.com/profile_images/1676606286908014593/DtpkYvWm_normal.jpg</v>
      </c>
      <c r="G126" s="63"/>
      <c r="H126" s="67"/>
      <c r="I126" s="68"/>
      <c r="J126" s="68"/>
      <c r="K126" s="67" t="s">
        <v>7370</v>
      </c>
      <c r="L126" s="71"/>
      <c r="M126" s="72"/>
      <c r="N126" s="72"/>
      <c r="O126" s="73"/>
      <c r="P126" s="74"/>
      <c r="Q126" s="74"/>
      <c r="R126" s="86"/>
      <c r="S126" s="86"/>
      <c r="T126" s="86"/>
      <c r="U126" s="86"/>
      <c r="V126" s="48"/>
      <c r="W126" s="48"/>
      <c r="X126" s="48"/>
      <c r="Y126" s="48"/>
      <c r="Z126" s="47"/>
      <c r="AA126" s="69">
        <v>126</v>
      </c>
      <c r="AB126" s="69"/>
      <c r="AC126" s="70"/>
      <c r="AD126" s="76" t="s">
        <v>6254</v>
      </c>
      <c r="AE126" s="81" t="s">
        <v>5941</v>
      </c>
      <c r="AF126" s="76">
        <v>5</v>
      </c>
      <c r="AG126" s="76">
        <v>211</v>
      </c>
      <c r="AH126" s="76">
        <v>396</v>
      </c>
      <c r="AI126" s="76">
        <v>0</v>
      </c>
      <c r="AJ126" s="76">
        <v>522</v>
      </c>
      <c r="AK126" s="76">
        <v>8</v>
      </c>
      <c r="AL126" s="76" t="b">
        <v>0</v>
      </c>
      <c r="AM126" s="78">
        <v>44922.599814814814</v>
      </c>
      <c r="AN126" s="76" t="s">
        <v>6607</v>
      </c>
      <c r="AO126" s="76" t="s">
        <v>6785</v>
      </c>
      <c r="AP126" s="76"/>
      <c r="AQ126" s="76"/>
      <c r="AR126" s="76"/>
      <c r="AS126" s="76"/>
      <c r="AT126" s="76"/>
      <c r="AU126" s="76"/>
      <c r="AV126" s="76"/>
      <c r="AW126" s="76"/>
      <c r="AX126" s="76" t="b">
        <v>0</v>
      </c>
      <c r="AY126" s="76"/>
      <c r="AZ126" s="76"/>
      <c r="BA126" s="76" t="b">
        <v>0</v>
      </c>
      <c r="BB126" s="76" t="b">
        <v>1</v>
      </c>
      <c r="BC126" s="76" t="b">
        <v>1</v>
      </c>
      <c r="BD126" s="76" t="b">
        <v>0</v>
      </c>
      <c r="BE126" s="76" t="b">
        <v>1</v>
      </c>
      <c r="BF126" s="76" t="b">
        <v>0</v>
      </c>
      <c r="BG126" s="76" t="b">
        <v>0</v>
      </c>
      <c r="BH126" s="83" t="str">
        <f>HYPERLINK("https://pbs.twimg.com/profile_banners/1607743902496309250/1688569047")</f>
        <v>https://pbs.twimg.com/profile_banners/1607743902496309250/1688569047</v>
      </c>
      <c r="BI126" s="76"/>
      <c r="BJ126" s="76" t="s">
        <v>7245</v>
      </c>
      <c r="BK126" s="76" t="b">
        <v>0</v>
      </c>
      <c r="BL126" s="76"/>
      <c r="BM126" s="76" t="s">
        <v>66</v>
      </c>
      <c r="BN126" s="76" t="s">
        <v>7247</v>
      </c>
      <c r="BO126" s="83" t="str">
        <f>HYPERLINK("https://twitter.com/marcosacc27")</f>
        <v>https://twitter.com/marcosacc27</v>
      </c>
      <c r="BP126" s="2"/>
    </row>
    <row r="127" spans="1:68" x14ac:dyDescent="0.25">
      <c r="A127" s="62" t="s">
        <v>344</v>
      </c>
      <c r="B127" s="63"/>
      <c r="C127" s="63"/>
      <c r="D127" s="64"/>
      <c r="E127" s="66"/>
      <c r="F127" s="102" t="str">
        <f>HYPERLINK("https://pbs.twimg.com/profile_images/1582182436422696960/gCta3VT__normal.png")</f>
        <v>https://pbs.twimg.com/profile_images/1582182436422696960/gCta3VT__normal.png</v>
      </c>
      <c r="G127" s="63"/>
      <c r="H127" s="67"/>
      <c r="I127" s="68"/>
      <c r="J127" s="68"/>
      <c r="K127" s="67" t="s">
        <v>7371</v>
      </c>
      <c r="L127" s="71"/>
      <c r="M127" s="72"/>
      <c r="N127" s="72"/>
      <c r="O127" s="73"/>
      <c r="P127" s="74"/>
      <c r="Q127" s="74"/>
      <c r="R127" s="86"/>
      <c r="S127" s="86"/>
      <c r="T127" s="86"/>
      <c r="U127" s="86"/>
      <c r="V127" s="48"/>
      <c r="W127" s="48"/>
      <c r="X127" s="48"/>
      <c r="Y127" s="48"/>
      <c r="Z127" s="47"/>
      <c r="AA127" s="69">
        <v>127</v>
      </c>
      <c r="AB127" s="69"/>
      <c r="AC127" s="70"/>
      <c r="AD127" s="76" t="s">
        <v>6255</v>
      </c>
      <c r="AE127" s="81" t="s">
        <v>5942</v>
      </c>
      <c r="AF127" s="76">
        <v>0</v>
      </c>
      <c r="AG127" s="76">
        <v>19</v>
      </c>
      <c r="AH127" s="76">
        <v>4</v>
      </c>
      <c r="AI127" s="76">
        <v>0</v>
      </c>
      <c r="AJ127" s="76">
        <v>13</v>
      </c>
      <c r="AK127" s="76">
        <v>4</v>
      </c>
      <c r="AL127" s="76" t="b">
        <v>0</v>
      </c>
      <c r="AM127" s="78">
        <v>44852.063217592593</v>
      </c>
      <c r="AN127" s="76"/>
      <c r="AO127" s="76" t="s">
        <v>6786</v>
      </c>
      <c r="AP127" s="76"/>
      <c r="AQ127" s="76"/>
      <c r="AR127" s="76"/>
      <c r="AS127" s="76"/>
      <c r="AT127" s="76"/>
      <c r="AU127" s="76"/>
      <c r="AV127" s="76"/>
      <c r="AW127" s="76"/>
      <c r="AX127" s="76" t="b">
        <v>0</v>
      </c>
      <c r="AY127" s="76"/>
      <c r="AZ127" s="76"/>
      <c r="BA127" s="76" t="b">
        <v>0</v>
      </c>
      <c r="BB127" s="76" t="b">
        <v>1</v>
      </c>
      <c r="BC127" s="76" t="b">
        <v>1</v>
      </c>
      <c r="BD127" s="76" t="b">
        <v>0</v>
      </c>
      <c r="BE127" s="76" t="b">
        <v>0</v>
      </c>
      <c r="BF127" s="76" t="b">
        <v>0</v>
      </c>
      <c r="BG127" s="76" t="b">
        <v>0</v>
      </c>
      <c r="BH127" s="83" t="str">
        <f>HYPERLINK("https://pbs.twimg.com/profile_banners/1582182297708773377/1693335457")</f>
        <v>https://pbs.twimg.com/profile_banners/1582182297708773377/1693335457</v>
      </c>
      <c r="BI127" s="76"/>
      <c r="BJ127" s="76" t="s">
        <v>7245</v>
      </c>
      <c r="BK127" s="76" t="b">
        <v>0</v>
      </c>
      <c r="BL127" s="76"/>
      <c r="BM127" s="76" t="s">
        <v>66</v>
      </c>
      <c r="BN127" s="76" t="s">
        <v>7247</v>
      </c>
      <c r="BO127" s="83" t="str">
        <f>HYPERLINK("https://twitter.com/africano_trader")</f>
        <v>https://twitter.com/africano_trader</v>
      </c>
      <c r="BP127" s="2"/>
    </row>
    <row r="128" spans="1:68" x14ac:dyDescent="0.25">
      <c r="A128" s="62" t="s">
        <v>345</v>
      </c>
      <c r="B128" s="63"/>
      <c r="C128" s="63"/>
      <c r="D128" s="64"/>
      <c r="E128" s="66"/>
      <c r="F128" s="102" t="str">
        <f>HYPERLINK("https://pbs.twimg.com/profile_images/1672868482528968704/Up-Diw_U_normal.jpg")</f>
        <v>https://pbs.twimg.com/profile_images/1672868482528968704/Up-Diw_U_normal.jpg</v>
      </c>
      <c r="G128" s="63"/>
      <c r="H128" s="67"/>
      <c r="I128" s="68"/>
      <c r="J128" s="68"/>
      <c r="K128" s="67" t="s">
        <v>7372</v>
      </c>
      <c r="L128" s="71"/>
      <c r="M128" s="72"/>
      <c r="N128" s="72"/>
      <c r="O128" s="73"/>
      <c r="P128" s="74"/>
      <c r="Q128" s="74"/>
      <c r="R128" s="86"/>
      <c r="S128" s="86"/>
      <c r="T128" s="86"/>
      <c r="U128" s="86"/>
      <c r="V128" s="48"/>
      <c r="W128" s="48"/>
      <c r="X128" s="48"/>
      <c r="Y128" s="48"/>
      <c r="Z128" s="47"/>
      <c r="AA128" s="69">
        <v>128</v>
      </c>
      <c r="AB128" s="69"/>
      <c r="AC128" s="70"/>
      <c r="AD128" s="76" t="s">
        <v>6256</v>
      </c>
      <c r="AE128" s="81" t="s">
        <v>5586</v>
      </c>
      <c r="AF128" s="76">
        <v>199</v>
      </c>
      <c r="AG128" s="76">
        <v>683</v>
      </c>
      <c r="AH128" s="76">
        <v>699</v>
      </c>
      <c r="AI128" s="76">
        <v>1</v>
      </c>
      <c r="AJ128" s="76">
        <v>204</v>
      </c>
      <c r="AK128" s="76">
        <v>67</v>
      </c>
      <c r="AL128" s="76" t="b">
        <v>0</v>
      </c>
      <c r="AM128" s="78">
        <v>42957.316354166665</v>
      </c>
      <c r="AN128" s="76" t="s">
        <v>6608</v>
      </c>
      <c r="AO128" s="76" t="s">
        <v>6787</v>
      </c>
      <c r="AP128" s="83" t="str">
        <f>HYPERLINK("https://t.co/vIKr5PZLE6")</f>
        <v>https://t.co/vIKr5PZLE6</v>
      </c>
      <c r="AQ128" s="83" t="str">
        <f>HYPERLINK("http://linktr.ee/adcamenhe")</f>
        <v>http://linktr.ee/adcamenhe</v>
      </c>
      <c r="AR128" s="76" t="s">
        <v>7073</v>
      </c>
      <c r="AS128" s="76"/>
      <c r="AT128" s="76"/>
      <c r="AU128" s="76"/>
      <c r="AV128" s="76">
        <v>1.4406722002399601E+18</v>
      </c>
      <c r="AW128" s="83" t="str">
        <f>HYPERLINK("https://t.co/vIKr5PZLE6")</f>
        <v>https://t.co/vIKr5PZLE6</v>
      </c>
      <c r="AX128" s="76" t="b">
        <v>0</v>
      </c>
      <c r="AY128" s="76"/>
      <c r="AZ128" s="76"/>
      <c r="BA128" s="76" t="b">
        <v>1</v>
      </c>
      <c r="BB128" s="76" t="b">
        <v>1</v>
      </c>
      <c r="BC128" s="76" t="b">
        <v>1</v>
      </c>
      <c r="BD128" s="76" t="b">
        <v>0</v>
      </c>
      <c r="BE128" s="76" t="b">
        <v>0</v>
      </c>
      <c r="BF128" s="76" t="b">
        <v>0</v>
      </c>
      <c r="BG128" s="76" t="b">
        <v>0</v>
      </c>
      <c r="BH128" s="83" t="str">
        <f>HYPERLINK("https://pbs.twimg.com/profile_banners/895549163403829248/1593586754")</f>
        <v>https://pbs.twimg.com/profile_banners/895549163403829248/1593586754</v>
      </c>
      <c r="BI128" s="76"/>
      <c r="BJ128" s="76" t="s">
        <v>7245</v>
      </c>
      <c r="BK128" s="76" t="b">
        <v>0</v>
      </c>
      <c r="BL128" s="76"/>
      <c r="BM128" s="76" t="s">
        <v>66</v>
      </c>
      <c r="BN128" s="76" t="s">
        <v>7247</v>
      </c>
      <c r="BO128" s="83" t="str">
        <f>HYPERLINK("https://twitter.com/adcamenhe")</f>
        <v>https://twitter.com/adcamenhe</v>
      </c>
      <c r="BP128" s="2"/>
    </row>
    <row r="129" spans="1:68" x14ac:dyDescent="0.25">
      <c r="A129" s="62" t="s">
        <v>346</v>
      </c>
      <c r="B129" s="63"/>
      <c r="C129" s="63"/>
      <c r="D129" s="64"/>
      <c r="E129" s="66"/>
      <c r="F129" s="102" t="str">
        <f>HYPERLINK("https://pbs.twimg.com/profile_images/1661291489844948994/UfYihVCP_normal.jpg")</f>
        <v>https://pbs.twimg.com/profile_images/1661291489844948994/UfYihVCP_normal.jpg</v>
      </c>
      <c r="G129" s="63"/>
      <c r="H129" s="67"/>
      <c r="I129" s="68"/>
      <c r="J129" s="68"/>
      <c r="K129" s="67" t="s">
        <v>7373</v>
      </c>
      <c r="L129" s="71"/>
      <c r="M129" s="72"/>
      <c r="N129" s="72"/>
      <c r="O129" s="73"/>
      <c r="P129" s="74"/>
      <c r="Q129" s="74"/>
      <c r="R129" s="86"/>
      <c r="S129" s="86"/>
      <c r="T129" s="86"/>
      <c r="U129" s="86"/>
      <c r="V129" s="48"/>
      <c r="W129" s="48"/>
      <c r="X129" s="48"/>
      <c r="Y129" s="48"/>
      <c r="Z129" s="47"/>
      <c r="AA129" s="69">
        <v>129</v>
      </c>
      <c r="AB129" s="69"/>
      <c r="AC129" s="70"/>
      <c r="AD129" s="76" t="s">
        <v>6257</v>
      </c>
      <c r="AE129" s="81" t="s">
        <v>5587</v>
      </c>
      <c r="AF129" s="76">
        <v>10</v>
      </c>
      <c r="AG129" s="76">
        <v>6</v>
      </c>
      <c r="AH129" s="76">
        <v>323</v>
      </c>
      <c r="AI129" s="76">
        <v>0</v>
      </c>
      <c r="AJ129" s="76">
        <v>282</v>
      </c>
      <c r="AK129" s="76">
        <v>27</v>
      </c>
      <c r="AL129" s="76" t="b">
        <v>0</v>
      </c>
      <c r="AM129" s="78">
        <v>44861.837997685187</v>
      </c>
      <c r="AN129" s="76" t="s">
        <v>6608</v>
      </c>
      <c r="AO129" s="76" t="s">
        <v>6788</v>
      </c>
      <c r="AP129" s="83" t="str">
        <f>HYPERLINK("https://t.co/F2QDuPMagQ")</f>
        <v>https://t.co/F2QDuPMagQ</v>
      </c>
      <c r="AQ129" s="83" t="str">
        <f>HYPERLINK("https://bit.ly/3eBAUaC")</f>
        <v>https://bit.ly/3eBAUaC</v>
      </c>
      <c r="AR129" s="76" t="s">
        <v>7074</v>
      </c>
      <c r="AS129" s="76"/>
      <c r="AT129" s="76"/>
      <c r="AU129" s="76"/>
      <c r="AV129" s="76"/>
      <c r="AW129" s="83" t="str">
        <f>HYPERLINK("https://t.co/F2QDuPMagQ")</f>
        <v>https://t.co/F2QDuPMagQ</v>
      </c>
      <c r="AX129" s="76" t="b">
        <v>0</v>
      </c>
      <c r="AY129" s="76"/>
      <c r="AZ129" s="76"/>
      <c r="BA129" s="76" t="b">
        <v>0</v>
      </c>
      <c r="BB129" s="76" t="b">
        <v>1</v>
      </c>
      <c r="BC129" s="76" t="b">
        <v>1</v>
      </c>
      <c r="BD129" s="76" t="b">
        <v>0</v>
      </c>
      <c r="BE129" s="76" t="b">
        <v>0</v>
      </c>
      <c r="BF129" s="76" t="b">
        <v>0</v>
      </c>
      <c r="BG129" s="76" t="b">
        <v>0</v>
      </c>
      <c r="BH129" s="83" t="str">
        <f>HYPERLINK("https://pbs.twimg.com/profile_banners/1585724617783664640/1667903393")</f>
        <v>https://pbs.twimg.com/profile_banners/1585724617783664640/1667903393</v>
      </c>
      <c r="BI129" s="76"/>
      <c r="BJ129" s="76" t="s">
        <v>7245</v>
      </c>
      <c r="BK129" s="76" t="b">
        <v>0</v>
      </c>
      <c r="BL129" s="76"/>
      <c r="BM129" s="76" t="s">
        <v>66</v>
      </c>
      <c r="BN129" s="76" t="s">
        <v>7247</v>
      </c>
      <c r="BO129" s="83" t="str">
        <f>HYPERLINK("https://twitter.com/a_donnaire")</f>
        <v>https://twitter.com/a_donnaire</v>
      </c>
      <c r="BP129" s="2"/>
    </row>
    <row r="130" spans="1:68" x14ac:dyDescent="0.25">
      <c r="A130" s="62" t="s">
        <v>347</v>
      </c>
      <c r="B130" s="63"/>
      <c r="C130" s="63"/>
      <c r="D130" s="64"/>
      <c r="E130" s="66"/>
      <c r="F130" s="102" t="str">
        <f>HYPERLINK("https://pbs.twimg.com/profile_images/1470508945882202114/CJxge1AA_normal.jpg")</f>
        <v>https://pbs.twimg.com/profile_images/1470508945882202114/CJxge1AA_normal.jpg</v>
      </c>
      <c r="G130" s="63"/>
      <c r="H130" s="67"/>
      <c r="I130" s="68"/>
      <c r="J130" s="68"/>
      <c r="K130" s="67" t="s">
        <v>7374</v>
      </c>
      <c r="L130" s="71"/>
      <c r="M130" s="72"/>
      <c r="N130" s="72"/>
      <c r="O130" s="73"/>
      <c r="P130" s="74"/>
      <c r="Q130" s="74"/>
      <c r="R130" s="86"/>
      <c r="S130" s="86"/>
      <c r="T130" s="86"/>
      <c r="U130" s="86"/>
      <c r="V130" s="48"/>
      <c r="W130" s="48"/>
      <c r="X130" s="48"/>
      <c r="Y130" s="48"/>
      <c r="Z130" s="47"/>
      <c r="AA130" s="69">
        <v>130</v>
      </c>
      <c r="AB130" s="69"/>
      <c r="AC130" s="70"/>
      <c r="AD130" s="76" t="s">
        <v>6258</v>
      </c>
      <c r="AE130" s="81" t="s">
        <v>5943</v>
      </c>
      <c r="AF130" s="76">
        <v>1402</v>
      </c>
      <c r="AG130" s="76">
        <v>1381</v>
      </c>
      <c r="AH130" s="76">
        <v>206</v>
      </c>
      <c r="AI130" s="76">
        <v>0</v>
      </c>
      <c r="AJ130" s="76">
        <v>47</v>
      </c>
      <c r="AK130" s="76">
        <v>35</v>
      </c>
      <c r="AL130" s="76" t="b">
        <v>0</v>
      </c>
      <c r="AM130" s="78">
        <v>43328.568993055553</v>
      </c>
      <c r="AN130" s="76" t="s">
        <v>6609</v>
      </c>
      <c r="AO130" s="76" t="s">
        <v>6789</v>
      </c>
      <c r="AP130" s="83" t="str">
        <f>HYPERLINK("https://t.co/8ln1B2ELbR")</f>
        <v>https://t.co/8ln1B2ELbR</v>
      </c>
      <c r="AQ130" s="83" t="str">
        <f>HYPERLINK("https://investoom.com")</f>
        <v>https://investoom.com</v>
      </c>
      <c r="AR130" s="76" t="s">
        <v>7000</v>
      </c>
      <c r="AS130" s="76"/>
      <c r="AT130" s="76"/>
      <c r="AU130" s="76"/>
      <c r="AV130" s="76"/>
      <c r="AW130" s="83" t="str">
        <f>HYPERLINK("https://t.co/8ln1B2ELbR")</f>
        <v>https://t.co/8ln1B2ELbR</v>
      </c>
      <c r="AX130" s="76" t="b">
        <v>0</v>
      </c>
      <c r="AY130" s="76"/>
      <c r="AZ130" s="76"/>
      <c r="BA130" s="76" t="b">
        <v>0</v>
      </c>
      <c r="BB130" s="76" t="b">
        <v>1</v>
      </c>
      <c r="BC130" s="76" t="b">
        <v>1</v>
      </c>
      <c r="BD130" s="76" t="b">
        <v>0</v>
      </c>
      <c r="BE130" s="76" t="b">
        <v>0</v>
      </c>
      <c r="BF130" s="76" t="b">
        <v>0</v>
      </c>
      <c r="BG130" s="76" t="b">
        <v>0</v>
      </c>
      <c r="BH130" s="83" t="str">
        <f>HYPERLINK("https://pbs.twimg.com/profile_banners/1030086613349617666/1642005526")</f>
        <v>https://pbs.twimg.com/profile_banners/1030086613349617666/1642005526</v>
      </c>
      <c r="BI130" s="76"/>
      <c r="BJ130" s="76" t="s">
        <v>7245</v>
      </c>
      <c r="BK130" s="76" t="b">
        <v>0</v>
      </c>
      <c r="BL130" s="76"/>
      <c r="BM130" s="76" t="s">
        <v>66</v>
      </c>
      <c r="BN130" s="76" t="s">
        <v>7247</v>
      </c>
      <c r="BO130" s="83" t="str">
        <f>HYPERLINK("https://twitter.com/investoom")</f>
        <v>https://twitter.com/investoom</v>
      </c>
      <c r="BP130" s="2"/>
    </row>
    <row r="131" spans="1:68" x14ac:dyDescent="0.25">
      <c r="A131" s="62" t="s">
        <v>348</v>
      </c>
      <c r="B131" s="63"/>
      <c r="C131" s="63"/>
      <c r="D131" s="64"/>
      <c r="E131" s="66"/>
      <c r="F131" s="102" t="str">
        <f>HYPERLINK("https://pbs.twimg.com/profile_images/1673001624883666947/Bo66srxq_normal.jpg")</f>
        <v>https://pbs.twimg.com/profile_images/1673001624883666947/Bo66srxq_normal.jpg</v>
      </c>
      <c r="G131" s="63"/>
      <c r="H131" s="67"/>
      <c r="I131" s="68"/>
      <c r="J131" s="68"/>
      <c r="K131" s="67" t="s">
        <v>7375</v>
      </c>
      <c r="L131" s="71"/>
      <c r="M131" s="72"/>
      <c r="N131" s="72"/>
      <c r="O131" s="73"/>
      <c r="P131" s="74"/>
      <c r="Q131" s="74"/>
      <c r="R131" s="86"/>
      <c r="S131" s="86"/>
      <c r="T131" s="86"/>
      <c r="U131" s="86"/>
      <c r="V131" s="48"/>
      <c r="W131" s="48"/>
      <c r="X131" s="48"/>
      <c r="Y131" s="48"/>
      <c r="Z131" s="47"/>
      <c r="AA131" s="69">
        <v>131</v>
      </c>
      <c r="AB131" s="69"/>
      <c r="AC131" s="70"/>
      <c r="AD131" s="76" t="s">
        <v>6259</v>
      </c>
      <c r="AE131" s="81" t="s">
        <v>6505</v>
      </c>
      <c r="AF131" s="76">
        <v>7773</v>
      </c>
      <c r="AG131" s="76">
        <v>2820</v>
      </c>
      <c r="AH131" s="76">
        <v>7812</v>
      </c>
      <c r="AI131" s="76">
        <v>18</v>
      </c>
      <c r="AJ131" s="76">
        <v>10955</v>
      </c>
      <c r="AK131" s="76">
        <v>1599</v>
      </c>
      <c r="AL131" s="76" t="b">
        <v>0</v>
      </c>
      <c r="AM131" s="78">
        <v>39659.904340277775</v>
      </c>
      <c r="AN131" s="76" t="s">
        <v>6610</v>
      </c>
      <c r="AO131" s="83" t="str">
        <f>HYPERLINK("https://t.co/sZb9GKqU6w")</f>
        <v>https://t.co/sZb9GKqU6w</v>
      </c>
      <c r="AP131" s="83" t="str">
        <f>HYPERLINK("https://t.co/epiHljS7ab")</f>
        <v>https://t.co/epiHljS7ab</v>
      </c>
      <c r="AQ131" s="83" t="str">
        <f>HYPERLINK("http://pugnaculum.com")</f>
        <v>http://pugnaculum.com</v>
      </c>
      <c r="AR131" s="76" t="s">
        <v>2152</v>
      </c>
      <c r="AS131" s="83" t="str">
        <f>HYPERLINK("https://t.co/sZb9GKqU6w")</f>
        <v>https://t.co/sZb9GKqU6w</v>
      </c>
      <c r="AT131" s="83" t="str">
        <f>HYPERLINK("http://t.me/paladinrood")</f>
        <v>http://t.me/paladinrood</v>
      </c>
      <c r="AU131" s="76" t="s">
        <v>7229</v>
      </c>
      <c r="AV131" s="76">
        <v>1.6849951909672E+18</v>
      </c>
      <c r="AW131" s="83" t="str">
        <f>HYPERLINK("https://t.co/epiHljS7ab")</f>
        <v>https://t.co/epiHljS7ab</v>
      </c>
      <c r="AX131" s="76" t="b">
        <v>1</v>
      </c>
      <c r="AY131" s="76"/>
      <c r="AZ131" s="76"/>
      <c r="BA131" s="76" t="b">
        <v>0</v>
      </c>
      <c r="BB131" s="76" t="b">
        <v>1</v>
      </c>
      <c r="BC131" s="76" t="b">
        <v>0</v>
      </c>
      <c r="BD131" s="76" t="b">
        <v>0</v>
      </c>
      <c r="BE131" s="76" t="b">
        <v>1</v>
      </c>
      <c r="BF131" s="76" t="b">
        <v>0</v>
      </c>
      <c r="BG131" s="76" t="b">
        <v>0</v>
      </c>
      <c r="BH131" s="83" t="str">
        <f>HYPERLINK("https://pbs.twimg.com/profile_banners/15666651/1590085226")</f>
        <v>https://pbs.twimg.com/profile_banners/15666651/1590085226</v>
      </c>
      <c r="BI131" s="76"/>
      <c r="BJ131" s="76" t="s">
        <v>7245</v>
      </c>
      <c r="BK131" s="76" t="b">
        <v>0</v>
      </c>
      <c r="BL131" s="76"/>
      <c r="BM131" s="76" t="s">
        <v>66</v>
      </c>
      <c r="BN131" s="76" t="s">
        <v>7247</v>
      </c>
      <c r="BO131" s="83" t="str">
        <f>HYPERLINK("https://twitter.com/paladinrood")</f>
        <v>https://twitter.com/paladinrood</v>
      </c>
      <c r="BP131" s="2"/>
    </row>
    <row r="132" spans="1:68" x14ac:dyDescent="0.25">
      <c r="A132" s="62" t="s">
        <v>349</v>
      </c>
      <c r="B132" s="63"/>
      <c r="C132" s="63"/>
      <c r="D132" s="64"/>
      <c r="E132" s="66"/>
      <c r="F132" s="102" t="str">
        <f>HYPERLINK("https://pbs.twimg.com/profile_images/1336274058963525632/6yK1d7_9_normal.jpg")</f>
        <v>https://pbs.twimg.com/profile_images/1336274058963525632/6yK1d7_9_normal.jpg</v>
      </c>
      <c r="G132" s="63"/>
      <c r="H132" s="67"/>
      <c r="I132" s="68"/>
      <c r="J132" s="68"/>
      <c r="K132" s="67" t="s">
        <v>7376</v>
      </c>
      <c r="L132" s="71"/>
      <c r="M132" s="72"/>
      <c r="N132" s="72"/>
      <c r="O132" s="73"/>
      <c r="P132" s="74"/>
      <c r="Q132" s="74"/>
      <c r="R132" s="86"/>
      <c r="S132" s="86"/>
      <c r="T132" s="86"/>
      <c r="U132" s="86"/>
      <c r="V132" s="48"/>
      <c r="W132" s="48"/>
      <c r="X132" s="48"/>
      <c r="Y132" s="48"/>
      <c r="Z132" s="47"/>
      <c r="AA132" s="69">
        <v>132</v>
      </c>
      <c r="AB132" s="69"/>
      <c r="AC132" s="70"/>
      <c r="AD132" s="76" t="s">
        <v>6260</v>
      </c>
      <c r="AE132" s="81" t="s">
        <v>5944</v>
      </c>
      <c r="AF132" s="76">
        <v>285</v>
      </c>
      <c r="AG132" s="76">
        <v>201</v>
      </c>
      <c r="AH132" s="76">
        <v>482</v>
      </c>
      <c r="AI132" s="76">
        <v>5</v>
      </c>
      <c r="AJ132" s="76">
        <v>157</v>
      </c>
      <c r="AK132" s="76">
        <v>8</v>
      </c>
      <c r="AL132" s="76" t="b">
        <v>0</v>
      </c>
      <c r="AM132" s="78">
        <v>43999.264525462961</v>
      </c>
      <c r="AN132" s="76" t="s">
        <v>6611</v>
      </c>
      <c r="AO132" s="76"/>
      <c r="AP132" s="76"/>
      <c r="AQ132" s="76"/>
      <c r="AR132" s="76"/>
      <c r="AS132" s="76"/>
      <c r="AT132" s="76"/>
      <c r="AU132" s="76"/>
      <c r="AV132" s="76">
        <v>1.6869827319917801E+18</v>
      </c>
      <c r="AW132" s="76"/>
      <c r="AX132" s="76" t="b">
        <v>0</v>
      </c>
      <c r="AY132" s="76"/>
      <c r="AZ132" s="76"/>
      <c r="BA132" s="76" t="b">
        <v>0</v>
      </c>
      <c r="BB132" s="76" t="b">
        <v>1</v>
      </c>
      <c r="BC132" s="76" t="b">
        <v>1</v>
      </c>
      <c r="BD132" s="76" t="b">
        <v>0</v>
      </c>
      <c r="BE132" s="76" t="b">
        <v>1</v>
      </c>
      <c r="BF132" s="76" t="b">
        <v>0</v>
      </c>
      <c r="BG132" s="76" t="b">
        <v>0</v>
      </c>
      <c r="BH132" s="83" t="str">
        <f>HYPERLINK("https://pbs.twimg.com/profile_banners/1273138459402801153/1607427648")</f>
        <v>https://pbs.twimg.com/profile_banners/1273138459402801153/1607427648</v>
      </c>
      <c r="BI132" s="76"/>
      <c r="BJ132" s="76" t="s">
        <v>7245</v>
      </c>
      <c r="BK132" s="76" t="b">
        <v>0</v>
      </c>
      <c r="BL132" s="76"/>
      <c r="BM132" s="76" t="s">
        <v>66</v>
      </c>
      <c r="BN132" s="76" t="s">
        <v>7247</v>
      </c>
      <c r="BO132" s="83" t="str">
        <f>HYPERLINK("https://twitter.com/druzi11")</f>
        <v>https://twitter.com/druzi11</v>
      </c>
      <c r="BP132" s="2"/>
    </row>
    <row r="133" spans="1:68" x14ac:dyDescent="0.25">
      <c r="A133" s="62" t="s">
        <v>350</v>
      </c>
      <c r="B133" s="63"/>
      <c r="C133" s="63"/>
      <c r="D133" s="64"/>
      <c r="E133" s="66"/>
      <c r="F133" s="102" t="str">
        <f>HYPERLINK("https://pbs.twimg.com/profile_images/1697062196226748416/__BTzucK_normal.jpg")</f>
        <v>https://pbs.twimg.com/profile_images/1697062196226748416/__BTzucK_normal.jpg</v>
      </c>
      <c r="G133" s="63"/>
      <c r="H133" s="67"/>
      <c r="I133" s="68"/>
      <c r="J133" s="68"/>
      <c r="K133" s="67" t="s">
        <v>7377</v>
      </c>
      <c r="L133" s="71"/>
      <c r="M133" s="72"/>
      <c r="N133" s="72"/>
      <c r="O133" s="73"/>
      <c r="P133" s="74"/>
      <c r="Q133" s="74"/>
      <c r="R133" s="86"/>
      <c r="S133" s="86"/>
      <c r="T133" s="86"/>
      <c r="U133" s="86"/>
      <c r="V133" s="48"/>
      <c r="W133" s="48"/>
      <c r="X133" s="48"/>
      <c r="Y133" s="48"/>
      <c r="Z133" s="47"/>
      <c r="AA133" s="69">
        <v>133</v>
      </c>
      <c r="AB133" s="69"/>
      <c r="AC133" s="70"/>
      <c r="AD133" s="76" t="s">
        <v>6261</v>
      </c>
      <c r="AE133" s="81" t="s">
        <v>5945</v>
      </c>
      <c r="AF133" s="76">
        <v>0</v>
      </c>
      <c r="AG133" s="76">
        <v>35</v>
      </c>
      <c r="AH133" s="76">
        <v>125</v>
      </c>
      <c r="AI133" s="76">
        <v>0</v>
      </c>
      <c r="AJ133" s="76">
        <v>76</v>
      </c>
      <c r="AK133" s="76">
        <v>58</v>
      </c>
      <c r="AL133" s="76" t="b">
        <v>0</v>
      </c>
      <c r="AM133" s="78">
        <v>43936.758773148147</v>
      </c>
      <c r="AN133" s="76"/>
      <c r="AO133" s="76"/>
      <c r="AP133" s="76"/>
      <c r="AQ133" s="76"/>
      <c r="AR133" s="76"/>
      <c r="AS133" s="76"/>
      <c r="AT133" s="76"/>
      <c r="AU133" s="76"/>
      <c r="AV133" s="76"/>
      <c r="AW133" s="76"/>
      <c r="AX133" s="76" t="b">
        <v>0</v>
      </c>
      <c r="AY133" s="76"/>
      <c r="AZ133" s="76"/>
      <c r="BA133" s="76" t="b">
        <v>0</v>
      </c>
      <c r="BB133" s="76" t="b">
        <v>1</v>
      </c>
      <c r="BC133" s="76" t="b">
        <v>1</v>
      </c>
      <c r="BD133" s="76" t="b">
        <v>0</v>
      </c>
      <c r="BE133" s="76" t="b">
        <v>0</v>
      </c>
      <c r="BF133" s="76" t="b">
        <v>0</v>
      </c>
      <c r="BG133" s="76" t="b">
        <v>0</v>
      </c>
      <c r="BH133" s="83" t="str">
        <f>HYPERLINK("https://pbs.twimg.com/profile_banners/1250487151231406081/1693446166")</f>
        <v>https://pbs.twimg.com/profile_banners/1250487151231406081/1693446166</v>
      </c>
      <c r="BI133" s="76"/>
      <c r="BJ133" s="76" t="s">
        <v>7245</v>
      </c>
      <c r="BK133" s="76" t="b">
        <v>0</v>
      </c>
      <c r="BL133" s="76"/>
      <c r="BM133" s="76" t="s">
        <v>66</v>
      </c>
      <c r="BN133" s="76" t="s">
        <v>7247</v>
      </c>
      <c r="BO133" s="83" t="str">
        <f>HYPERLINK("https://twitter.com/antonellampaiva")</f>
        <v>https://twitter.com/antonellampaiva</v>
      </c>
      <c r="BP133" s="2"/>
    </row>
    <row r="134" spans="1:68" x14ac:dyDescent="0.25">
      <c r="A134" s="62" t="s">
        <v>351</v>
      </c>
      <c r="B134" s="63"/>
      <c r="C134" s="63"/>
      <c r="D134" s="64"/>
      <c r="E134" s="66"/>
      <c r="F134" s="102" t="str">
        <f>HYPERLINK("https://pbs.twimg.com/profile_images/1685053544892698625/KG3LARO__normal.jpg")</f>
        <v>https://pbs.twimg.com/profile_images/1685053544892698625/KG3LARO__normal.jpg</v>
      </c>
      <c r="G134" s="63"/>
      <c r="H134" s="67"/>
      <c r="I134" s="68"/>
      <c r="J134" s="68"/>
      <c r="K134" s="67" t="s">
        <v>7378</v>
      </c>
      <c r="L134" s="71"/>
      <c r="M134" s="72"/>
      <c r="N134" s="72"/>
      <c r="O134" s="73"/>
      <c r="P134" s="74"/>
      <c r="Q134" s="74"/>
      <c r="R134" s="86"/>
      <c r="S134" s="86"/>
      <c r="T134" s="86"/>
      <c r="U134" s="86"/>
      <c r="V134" s="48"/>
      <c r="W134" s="48"/>
      <c r="X134" s="48"/>
      <c r="Y134" s="48"/>
      <c r="Z134" s="47"/>
      <c r="AA134" s="69">
        <v>134</v>
      </c>
      <c r="AB134" s="69"/>
      <c r="AC134" s="70"/>
      <c r="AD134" s="76" t="s">
        <v>6262</v>
      </c>
      <c r="AE134" s="81" t="s">
        <v>5946</v>
      </c>
      <c r="AF134" s="76">
        <v>2998</v>
      </c>
      <c r="AG134" s="76">
        <v>3965</v>
      </c>
      <c r="AH134" s="76">
        <v>87</v>
      </c>
      <c r="AI134" s="76">
        <v>0</v>
      </c>
      <c r="AJ134" s="76">
        <v>114</v>
      </c>
      <c r="AK134" s="76">
        <v>22</v>
      </c>
      <c r="AL134" s="76" t="b">
        <v>0</v>
      </c>
      <c r="AM134" s="78">
        <v>44837.99790509259</v>
      </c>
      <c r="AN134" s="76" t="s">
        <v>6612</v>
      </c>
      <c r="AO134" s="76" t="s">
        <v>6790</v>
      </c>
      <c r="AP134" s="76"/>
      <c r="AQ134" s="76"/>
      <c r="AR134" s="76"/>
      <c r="AS134" s="76"/>
      <c r="AT134" s="76"/>
      <c r="AU134" s="76"/>
      <c r="AV134" s="76"/>
      <c r="AW134" s="76"/>
      <c r="AX134" s="76" t="b">
        <v>0</v>
      </c>
      <c r="AY134" s="76"/>
      <c r="AZ134" s="76"/>
      <c r="BA134" s="76" t="b">
        <v>1</v>
      </c>
      <c r="BB134" s="76" t="b">
        <v>1</v>
      </c>
      <c r="BC134" s="76" t="b">
        <v>1</v>
      </c>
      <c r="BD134" s="76" t="b">
        <v>0</v>
      </c>
      <c r="BE134" s="76" t="b">
        <v>0</v>
      </c>
      <c r="BF134" s="76" t="b">
        <v>0</v>
      </c>
      <c r="BG134" s="76" t="b">
        <v>0</v>
      </c>
      <c r="BH134" s="83" t="str">
        <f>HYPERLINK("https://pbs.twimg.com/profile_banners/1577085271308472320/1690583058")</f>
        <v>https://pbs.twimg.com/profile_banners/1577085271308472320/1690583058</v>
      </c>
      <c r="BI134" s="76"/>
      <c r="BJ134" s="76" t="s">
        <v>7245</v>
      </c>
      <c r="BK134" s="76" t="b">
        <v>0</v>
      </c>
      <c r="BL134" s="76"/>
      <c r="BM134" s="76" t="s">
        <v>66</v>
      </c>
      <c r="BN134" s="76" t="s">
        <v>7247</v>
      </c>
      <c r="BO134" s="83" t="str">
        <f>HYPERLINK("https://twitter.com/dnatalia_d")</f>
        <v>https://twitter.com/dnatalia_d</v>
      </c>
      <c r="BP134" s="2"/>
    </row>
    <row r="135" spans="1:68" x14ac:dyDescent="0.25">
      <c r="A135" s="62" t="s">
        <v>352</v>
      </c>
      <c r="B135" s="63"/>
      <c r="C135" s="63"/>
      <c r="D135" s="64"/>
      <c r="E135" s="66"/>
      <c r="F135" s="102" t="str">
        <f>HYPERLINK("https://pbs.twimg.com/profile_images/1689427223827152896/e_T7P0Hh_normal.jpg")</f>
        <v>https://pbs.twimg.com/profile_images/1689427223827152896/e_T7P0Hh_normal.jpg</v>
      </c>
      <c r="G135" s="63"/>
      <c r="H135" s="67"/>
      <c r="I135" s="68"/>
      <c r="J135" s="68"/>
      <c r="K135" s="67" t="s">
        <v>7379</v>
      </c>
      <c r="L135" s="71"/>
      <c r="M135" s="72"/>
      <c r="N135" s="72"/>
      <c r="O135" s="73"/>
      <c r="P135" s="74"/>
      <c r="Q135" s="74"/>
      <c r="R135" s="86"/>
      <c r="S135" s="86"/>
      <c r="T135" s="86"/>
      <c r="U135" s="86"/>
      <c r="V135" s="48"/>
      <c r="W135" s="48"/>
      <c r="X135" s="48"/>
      <c r="Y135" s="48"/>
      <c r="Z135" s="47"/>
      <c r="AA135" s="69">
        <v>135</v>
      </c>
      <c r="AB135" s="69"/>
      <c r="AC135" s="70"/>
      <c r="AD135" s="76" t="s">
        <v>6263</v>
      </c>
      <c r="AE135" s="81" t="s">
        <v>5947</v>
      </c>
      <c r="AF135" s="76">
        <v>9</v>
      </c>
      <c r="AG135" s="76">
        <v>22</v>
      </c>
      <c r="AH135" s="76">
        <v>34</v>
      </c>
      <c r="AI135" s="76">
        <v>0</v>
      </c>
      <c r="AJ135" s="76">
        <v>11</v>
      </c>
      <c r="AK135" s="76">
        <v>0</v>
      </c>
      <c r="AL135" s="76" t="b">
        <v>0</v>
      </c>
      <c r="AM135" s="78">
        <v>45147.982615740744</v>
      </c>
      <c r="AN135" s="76" t="s">
        <v>3752</v>
      </c>
      <c r="AO135" s="76" t="s">
        <v>6791</v>
      </c>
      <c r="AP135" s="76"/>
      <c r="AQ135" s="76"/>
      <c r="AR135" s="76"/>
      <c r="AS135" s="76"/>
      <c r="AT135" s="76"/>
      <c r="AU135" s="76"/>
      <c r="AV135" s="76"/>
      <c r="AW135" s="76"/>
      <c r="AX135" s="76" t="b">
        <v>0</v>
      </c>
      <c r="AY135" s="76"/>
      <c r="AZ135" s="76"/>
      <c r="BA135" s="76" t="b">
        <v>1</v>
      </c>
      <c r="BB135" s="76" t="b">
        <v>1</v>
      </c>
      <c r="BC135" s="76" t="b">
        <v>1</v>
      </c>
      <c r="BD135" s="76" t="b">
        <v>0</v>
      </c>
      <c r="BE135" s="76" t="b">
        <v>0</v>
      </c>
      <c r="BF135" s="76" t="b">
        <v>0</v>
      </c>
      <c r="BG135" s="76" t="b">
        <v>0</v>
      </c>
      <c r="BH135" s="83" t="str">
        <f>HYPERLINK("https://pbs.twimg.com/profile_banners/1689419869530345472/1692042762")</f>
        <v>https://pbs.twimg.com/profile_banners/1689419869530345472/1692042762</v>
      </c>
      <c r="BI135" s="76"/>
      <c r="BJ135" s="76" t="s">
        <v>7245</v>
      </c>
      <c r="BK135" s="76" t="b">
        <v>0</v>
      </c>
      <c r="BL135" s="76"/>
      <c r="BM135" s="76" t="s">
        <v>66</v>
      </c>
      <c r="BN135" s="76" t="s">
        <v>7247</v>
      </c>
      <c r="BO135" s="83" t="str">
        <f>HYPERLINK("https://twitter.com/the_nomadship")</f>
        <v>https://twitter.com/the_nomadship</v>
      </c>
      <c r="BP135" s="2"/>
    </row>
    <row r="136" spans="1:68" x14ac:dyDescent="0.25">
      <c r="A136" s="62" t="s">
        <v>353</v>
      </c>
      <c r="B136" s="63"/>
      <c r="C136" s="63"/>
      <c r="D136" s="64"/>
      <c r="E136" s="66"/>
      <c r="F136" s="102" t="str">
        <f>HYPERLINK("https://pbs.twimg.com/profile_images/1653759852139671564/Cp_eFRFU_normal.jpg")</f>
        <v>https://pbs.twimg.com/profile_images/1653759852139671564/Cp_eFRFU_normal.jpg</v>
      </c>
      <c r="G136" s="63"/>
      <c r="H136" s="67"/>
      <c r="I136" s="68"/>
      <c r="J136" s="68"/>
      <c r="K136" s="67" t="s">
        <v>7380</v>
      </c>
      <c r="L136" s="71"/>
      <c r="M136" s="72"/>
      <c r="N136" s="72"/>
      <c r="O136" s="73"/>
      <c r="P136" s="74"/>
      <c r="Q136" s="74"/>
      <c r="R136" s="86"/>
      <c r="S136" s="86"/>
      <c r="T136" s="86"/>
      <c r="U136" s="86"/>
      <c r="V136" s="48"/>
      <c r="W136" s="48"/>
      <c r="X136" s="48"/>
      <c r="Y136" s="48"/>
      <c r="Z136" s="47"/>
      <c r="AA136" s="69">
        <v>136</v>
      </c>
      <c r="AB136" s="69"/>
      <c r="AC136" s="70"/>
      <c r="AD136" s="76" t="s">
        <v>6264</v>
      </c>
      <c r="AE136" s="81" t="s">
        <v>6506</v>
      </c>
      <c r="AF136" s="76">
        <v>373</v>
      </c>
      <c r="AG136" s="76">
        <v>265</v>
      </c>
      <c r="AH136" s="76">
        <v>3873</v>
      </c>
      <c r="AI136" s="76">
        <v>1</v>
      </c>
      <c r="AJ136" s="76">
        <v>2133</v>
      </c>
      <c r="AK136" s="76">
        <v>110</v>
      </c>
      <c r="AL136" s="76" t="b">
        <v>0</v>
      </c>
      <c r="AM136" s="78">
        <v>40701.034988425927</v>
      </c>
      <c r="AN136" s="76" t="s">
        <v>6613</v>
      </c>
      <c r="AO136" s="76" t="s">
        <v>6792</v>
      </c>
      <c r="AP136" s="76"/>
      <c r="AQ136" s="76"/>
      <c r="AR136" s="76"/>
      <c r="AS136" s="76"/>
      <c r="AT136" s="76"/>
      <c r="AU136" s="76"/>
      <c r="AV136" s="76">
        <v>1.3867963863567601E+18</v>
      </c>
      <c r="AW136" s="76"/>
      <c r="AX136" s="76" t="b">
        <v>0</v>
      </c>
      <c r="AY136" s="76"/>
      <c r="AZ136" s="76"/>
      <c r="BA136" s="76" t="b">
        <v>1</v>
      </c>
      <c r="BB136" s="76" t="b">
        <v>0</v>
      </c>
      <c r="BC136" s="76" t="b">
        <v>0</v>
      </c>
      <c r="BD136" s="76" t="b">
        <v>0</v>
      </c>
      <c r="BE136" s="76" t="b">
        <v>0</v>
      </c>
      <c r="BF136" s="76" t="b">
        <v>0</v>
      </c>
      <c r="BG136" s="76" t="b">
        <v>0</v>
      </c>
      <c r="BH136" s="83" t="str">
        <f>HYPERLINK("https://pbs.twimg.com/profile_banners/312364401/1680735184")</f>
        <v>https://pbs.twimg.com/profile_banners/312364401/1680735184</v>
      </c>
      <c r="BI136" s="76"/>
      <c r="BJ136" s="76" t="s">
        <v>7245</v>
      </c>
      <c r="BK136" s="76" t="b">
        <v>0</v>
      </c>
      <c r="BL136" s="76"/>
      <c r="BM136" s="76" t="s">
        <v>66</v>
      </c>
      <c r="BN136" s="76" t="s">
        <v>7247</v>
      </c>
      <c r="BO136" s="83" t="str">
        <f>HYPERLINK("https://twitter.com/kauedpoll")</f>
        <v>https://twitter.com/kauedpoll</v>
      </c>
      <c r="BP136" s="2"/>
    </row>
    <row r="137" spans="1:68" x14ac:dyDescent="0.25">
      <c r="A137" s="62" t="s">
        <v>354</v>
      </c>
      <c r="B137" s="63"/>
      <c r="C137" s="63"/>
      <c r="D137" s="64"/>
      <c r="E137" s="66"/>
      <c r="F137" s="102" t="str">
        <f>HYPERLINK("https://pbs.twimg.com/profile_images/1615802469480599584/WBKk_AZ1_normal.jpg")</f>
        <v>https://pbs.twimg.com/profile_images/1615802469480599584/WBKk_AZ1_normal.jpg</v>
      </c>
      <c r="G137" s="63"/>
      <c r="H137" s="67"/>
      <c r="I137" s="68"/>
      <c r="J137" s="68"/>
      <c r="K137" s="67" t="s">
        <v>7381</v>
      </c>
      <c r="L137" s="71"/>
      <c r="M137" s="72"/>
      <c r="N137" s="72"/>
      <c r="O137" s="73"/>
      <c r="P137" s="74"/>
      <c r="Q137" s="74"/>
      <c r="R137" s="86"/>
      <c r="S137" s="86"/>
      <c r="T137" s="86"/>
      <c r="U137" s="86"/>
      <c r="V137" s="48"/>
      <c r="W137" s="48"/>
      <c r="X137" s="48"/>
      <c r="Y137" s="48"/>
      <c r="Z137" s="47"/>
      <c r="AA137" s="69">
        <v>137</v>
      </c>
      <c r="AB137" s="69"/>
      <c r="AC137" s="70"/>
      <c r="AD137" s="76" t="s">
        <v>6265</v>
      </c>
      <c r="AE137" s="81" t="s">
        <v>6507</v>
      </c>
      <c r="AF137" s="76">
        <v>15</v>
      </c>
      <c r="AG137" s="76">
        <v>34</v>
      </c>
      <c r="AH137" s="76">
        <v>71</v>
      </c>
      <c r="AI137" s="76">
        <v>2</v>
      </c>
      <c r="AJ137" s="76">
        <v>23</v>
      </c>
      <c r="AK137" s="76">
        <v>60</v>
      </c>
      <c r="AL137" s="76" t="b">
        <v>0</v>
      </c>
      <c r="AM137" s="78">
        <v>41929.528958333336</v>
      </c>
      <c r="AN137" s="76"/>
      <c r="AO137" s="76"/>
      <c r="AP137" s="76"/>
      <c r="AQ137" s="76"/>
      <c r="AR137" s="76"/>
      <c r="AS137" s="76"/>
      <c r="AT137" s="76"/>
      <c r="AU137" s="76"/>
      <c r="AV137" s="76">
        <v>5.6046893564116902E+17</v>
      </c>
      <c r="AW137" s="76"/>
      <c r="AX137" s="76" t="b">
        <v>0</v>
      </c>
      <c r="AY137" s="76"/>
      <c r="AZ137" s="76"/>
      <c r="BA137" s="76" t="b">
        <v>0</v>
      </c>
      <c r="BB137" s="76" t="b">
        <v>1</v>
      </c>
      <c r="BC137" s="76" t="b">
        <v>0</v>
      </c>
      <c r="BD137" s="76" t="b">
        <v>0</v>
      </c>
      <c r="BE137" s="76" t="b">
        <v>0</v>
      </c>
      <c r="BF137" s="76" t="b">
        <v>0</v>
      </c>
      <c r="BG137" s="76" t="b">
        <v>0</v>
      </c>
      <c r="BH137" s="83" t="str">
        <f>HYPERLINK("https://pbs.twimg.com/profile_banners/2834986125/1674072305")</f>
        <v>https://pbs.twimg.com/profile_banners/2834986125/1674072305</v>
      </c>
      <c r="BI137" s="76"/>
      <c r="BJ137" s="76" t="s">
        <v>7245</v>
      </c>
      <c r="BK137" s="76" t="b">
        <v>0</v>
      </c>
      <c r="BL137" s="76"/>
      <c r="BM137" s="76" t="s">
        <v>66</v>
      </c>
      <c r="BN137" s="76" t="s">
        <v>7247</v>
      </c>
      <c r="BO137" s="83" t="str">
        <f>HYPERLINK("https://twitter.com/tucoinvest")</f>
        <v>https://twitter.com/tucoinvest</v>
      </c>
      <c r="BP137" s="2"/>
    </row>
    <row r="138" spans="1:68" x14ac:dyDescent="0.25">
      <c r="A138" s="62" t="s">
        <v>355</v>
      </c>
      <c r="B138" s="63"/>
      <c r="C138" s="63"/>
      <c r="D138" s="64"/>
      <c r="E138" s="66"/>
      <c r="F138" s="102" t="str">
        <f>HYPERLINK("https://pbs.twimg.com/profile_images/1093983783483785217/TWZqG3VS_normal.jpg")</f>
        <v>https://pbs.twimg.com/profile_images/1093983783483785217/TWZqG3VS_normal.jpg</v>
      </c>
      <c r="G138" s="63"/>
      <c r="H138" s="67"/>
      <c r="I138" s="68"/>
      <c r="J138" s="68"/>
      <c r="K138" s="67" t="s">
        <v>7382</v>
      </c>
      <c r="L138" s="71"/>
      <c r="M138" s="72"/>
      <c r="N138" s="72"/>
      <c r="O138" s="73"/>
      <c r="P138" s="74"/>
      <c r="Q138" s="74"/>
      <c r="R138" s="86"/>
      <c r="S138" s="86"/>
      <c r="T138" s="86"/>
      <c r="U138" s="86"/>
      <c r="V138" s="48"/>
      <c r="W138" s="48"/>
      <c r="X138" s="48"/>
      <c r="Y138" s="48"/>
      <c r="Z138" s="47"/>
      <c r="AA138" s="69">
        <v>138</v>
      </c>
      <c r="AB138" s="69"/>
      <c r="AC138" s="70"/>
      <c r="AD138" s="76" t="s">
        <v>6266</v>
      </c>
      <c r="AE138" s="81" t="s">
        <v>5948</v>
      </c>
      <c r="AF138" s="76">
        <v>52</v>
      </c>
      <c r="AG138" s="76">
        <v>23</v>
      </c>
      <c r="AH138" s="76">
        <v>333</v>
      </c>
      <c r="AI138" s="76">
        <v>0</v>
      </c>
      <c r="AJ138" s="76">
        <v>29</v>
      </c>
      <c r="AK138" s="76">
        <v>171</v>
      </c>
      <c r="AL138" s="76" t="b">
        <v>0</v>
      </c>
      <c r="AM138" s="78">
        <v>43456.895011574074</v>
      </c>
      <c r="AN138" s="76"/>
      <c r="AO138" s="76" t="s">
        <v>6793</v>
      </c>
      <c r="AP138" s="83" t="str">
        <f>HYPERLINK("https://t.co/eEydKHNJOU")</f>
        <v>https://t.co/eEydKHNJOU</v>
      </c>
      <c r="AQ138" s="83" t="str">
        <f>HYPERLINK("https://girofinanceiro.com.br/")</f>
        <v>https://girofinanceiro.com.br/</v>
      </c>
      <c r="AR138" s="76" t="s">
        <v>7075</v>
      </c>
      <c r="AS138" s="76"/>
      <c r="AT138" s="76"/>
      <c r="AU138" s="76"/>
      <c r="AV138" s="76"/>
      <c r="AW138" s="83" t="str">
        <f>HYPERLINK("https://t.co/eEydKHNJOU")</f>
        <v>https://t.co/eEydKHNJOU</v>
      </c>
      <c r="AX138" s="76" t="b">
        <v>0</v>
      </c>
      <c r="AY138" s="76"/>
      <c r="AZ138" s="76"/>
      <c r="BA138" s="76" t="b">
        <v>0</v>
      </c>
      <c r="BB138" s="76" t="b">
        <v>1</v>
      </c>
      <c r="BC138" s="76" t="b">
        <v>1</v>
      </c>
      <c r="BD138" s="76" t="b">
        <v>0</v>
      </c>
      <c r="BE138" s="76" t="b">
        <v>0</v>
      </c>
      <c r="BF138" s="76" t="b">
        <v>0</v>
      </c>
      <c r="BG138" s="76" t="b">
        <v>0</v>
      </c>
      <c r="BH138" s="83" t="str">
        <f>HYPERLINK("https://pbs.twimg.com/profile_banners/1076590404819189766/1549661077")</f>
        <v>https://pbs.twimg.com/profile_banners/1076590404819189766/1549661077</v>
      </c>
      <c r="BI138" s="76"/>
      <c r="BJ138" s="76" t="s">
        <v>7245</v>
      </c>
      <c r="BK138" s="76" t="b">
        <v>0</v>
      </c>
      <c r="BL138" s="76"/>
      <c r="BM138" s="76" t="s">
        <v>66</v>
      </c>
      <c r="BN138" s="76" t="s">
        <v>7247</v>
      </c>
      <c r="BO138" s="83" t="str">
        <f>HYPERLINK("https://twitter.com/girofinanceiro")</f>
        <v>https://twitter.com/girofinanceiro</v>
      </c>
      <c r="BP138" s="2"/>
    </row>
    <row r="139" spans="1:68" x14ac:dyDescent="0.25">
      <c r="A139" s="62" t="s">
        <v>356</v>
      </c>
      <c r="B139" s="63"/>
      <c r="C139" s="63"/>
      <c r="D139" s="64"/>
      <c r="E139" s="66"/>
      <c r="F139" s="102" t="str">
        <f>HYPERLINK("https://pbs.twimg.com/profile_images/1642198762469707780/WqJDNyBA_normal.jpg")</f>
        <v>https://pbs.twimg.com/profile_images/1642198762469707780/WqJDNyBA_normal.jpg</v>
      </c>
      <c r="G139" s="63"/>
      <c r="H139" s="67"/>
      <c r="I139" s="68"/>
      <c r="J139" s="68"/>
      <c r="K139" s="67" t="s">
        <v>7383</v>
      </c>
      <c r="L139" s="71"/>
      <c r="M139" s="72"/>
      <c r="N139" s="72"/>
      <c r="O139" s="73"/>
      <c r="P139" s="74"/>
      <c r="Q139" s="74"/>
      <c r="R139" s="86"/>
      <c r="S139" s="86"/>
      <c r="T139" s="86"/>
      <c r="U139" s="86"/>
      <c r="V139" s="48"/>
      <c r="W139" s="48"/>
      <c r="X139" s="48"/>
      <c r="Y139" s="48"/>
      <c r="Z139" s="47"/>
      <c r="AA139" s="69">
        <v>139</v>
      </c>
      <c r="AB139" s="69"/>
      <c r="AC139" s="70"/>
      <c r="AD139" s="76" t="s">
        <v>6267</v>
      </c>
      <c r="AE139" s="81" t="s">
        <v>5949</v>
      </c>
      <c r="AF139" s="76">
        <v>66</v>
      </c>
      <c r="AG139" s="76">
        <v>166</v>
      </c>
      <c r="AH139" s="76">
        <v>5416</v>
      </c>
      <c r="AI139" s="76">
        <v>1</v>
      </c>
      <c r="AJ139" s="76">
        <v>7088</v>
      </c>
      <c r="AK139" s="76">
        <v>85</v>
      </c>
      <c r="AL139" s="76" t="b">
        <v>0</v>
      </c>
      <c r="AM139" s="78">
        <v>44369.457465277781</v>
      </c>
      <c r="AN139" s="76"/>
      <c r="AO139" s="76" t="s">
        <v>6794</v>
      </c>
      <c r="AP139" s="76"/>
      <c r="AQ139" s="76"/>
      <c r="AR139" s="76"/>
      <c r="AS139" s="76"/>
      <c r="AT139" s="76"/>
      <c r="AU139" s="76"/>
      <c r="AV139" s="76"/>
      <c r="AW139" s="76"/>
      <c r="AX139" s="76" t="b">
        <v>0</v>
      </c>
      <c r="AY139" s="76"/>
      <c r="AZ139" s="76"/>
      <c r="BA139" s="76" t="b">
        <v>0</v>
      </c>
      <c r="BB139" s="76" t="b">
        <v>1</v>
      </c>
      <c r="BC139" s="76" t="b">
        <v>1</v>
      </c>
      <c r="BD139" s="76" t="b">
        <v>0</v>
      </c>
      <c r="BE139" s="76" t="b">
        <v>1</v>
      </c>
      <c r="BF139" s="76" t="b">
        <v>0</v>
      </c>
      <c r="BG139" s="76" t="b">
        <v>0</v>
      </c>
      <c r="BH139" s="83" t="str">
        <f>HYPERLINK("https://pbs.twimg.com/profile_banners/1407291767758757890/1680365671")</f>
        <v>https://pbs.twimg.com/profile_banners/1407291767758757890/1680365671</v>
      </c>
      <c r="BI139" s="76"/>
      <c r="BJ139" s="76" t="s">
        <v>7245</v>
      </c>
      <c r="BK139" s="76" t="b">
        <v>0</v>
      </c>
      <c r="BL139" s="76"/>
      <c r="BM139" s="76" t="s">
        <v>66</v>
      </c>
      <c r="BN139" s="76" t="s">
        <v>7247</v>
      </c>
      <c r="BO139" s="83" t="str">
        <f>HYPERLINK("https://twitter.com/maisumsilva__")</f>
        <v>https://twitter.com/maisumsilva__</v>
      </c>
      <c r="BP139" s="2"/>
    </row>
    <row r="140" spans="1:68" x14ac:dyDescent="0.25">
      <c r="A140" s="62" t="s">
        <v>357</v>
      </c>
      <c r="B140" s="63"/>
      <c r="C140" s="63"/>
      <c r="D140" s="64"/>
      <c r="E140" s="66"/>
      <c r="F140" s="102" t="str">
        <f>HYPERLINK("https://pbs.twimg.com/profile_images/1650837777649418241/jnGKtY2v_normal.jpg")</f>
        <v>https://pbs.twimg.com/profile_images/1650837777649418241/jnGKtY2v_normal.jpg</v>
      </c>
      <c r="G140" s="63"/>
      <c r="H140" s="67"/>
      <c r="I140" s="68"/>
      <c r="J140" s="68"/>
      <c r="K140" s="67" t="s">
        <v>7384</v>
      </c>
      <c r="L140" s="71"/>
      <c r="M140" s="72"/>
      <c r="N140" s="72"/>
      <c r="O140" s="73"/>
      <c r="P140" s="74"/>
      <c r="Q140" s="74"/>
      <c r="R140" s="86"/>
      <c r="S140" s="86"/>
      <c r="T140" s="86"/>
      <c r="U140" s="86"/>
      <c r="V140" s="48"/>
      <c r="W140" s="48"/>
      <c r="X140" s="48"/>
      <c r="Y140" s="48"/>
      <c r="Z140" s="47"/>
      <c r="AA140" s="69">
        <v>140</v>
      </c>
      <c r="AB140" s="69"/>
      <c r="AC140" s="70"/>
      <c r="AD140" s="76" t="s">
        <v>6268</v>
      </c>
      <c r="AE140" s="81" t="s">
        <v>5950</v>
      </c>
      <c r="AF140" s="76">
        <v>52</v>
      </c>
      <c r="AG140" s="76">
        <v>392</v>
      </c>
      <c r="AH140" s="76">
        <v>848</v>
      </c>
      <c r="AI140" s="76">
        <v>0</v>
      </c>
      <c r="AJ140" s="76">
        <v>1501</v>
      </c>
      <c r="AK140" s="76">
        <v>155</v>
      </c>
      <c r="AL140" s="76" t="b">
        <v>0</v>
      </c>
      <c r="AM140" s="78">
        <v>45041.51494212963</v>
      </c>
      <c r="AN140" s="76" t="s">
        <v>3752</v>
      </c>
      <c r="AO140" s="76" t="s">
        <v>6795</v>
      </c>
      <c r="AP140" s="83" t="str">
        <f>HYPERLINK("https://t.co/uFvdnjRFW6")</f>
        <v>https://t.co/uFvdnjRFW6</v>
      </c>
      <c r="AQ140" s="83" t="str">
        <f>HYPERLINK("https://moneymarkets.com.br/")</f>
        <v>https://moneymarkets.com.br/</v>
      </c>
      <c r="AR140" s="76" t="s">
        <v>7076</v>
      </c>
      <c r="AS140" s="76"/>
      <c r="AT140" s="76"/>
      <c r="AU140" s="76"/>
      <c r="AV140" s="76"/>
      <c r="AW140" s="83" t="str">
        <f>HYPERLINK("https://t.co/uFvdnjRFW6")</f>
        <v>https://t.co/uFvdnjRFW6</v>
      </c>
      <c r="AX140" s="76" t="b">
        <v>0</v>
      </c>
      <c r="AY140" s="76"/>
      <c r="AZ140" s="76"/>
      <c r="BA140" s="76" t="b">
        <v>0</v>
      </c>
      <c r="BB140" s="76" t="b">
        <v>1</v>
      </c>
      <c r="BC140" s="76" t="b">
        <v>1</v>
      </c>
      <c r="BD140" s="76" t="b">
        <v>0</v>
      </c>
      <c r="BE140" s="76" t="b">
        <v>0</v>
      </c>
      <c r="BF140" s="76" t="b">
        <v>0</v>
      </c>
      <c r="BG140" s="76" t="b">
        <v>0</v>
      </c>
      <c r="BH140" s="83" t="str">
        <f>HYPERLINK("https://pbs.twimg.com/profile_banners/1650837402607386624/1682429229")</f>
        <v>https://pbs.twimg.com/profile_banners/1650837402607386624/1682429229</v>
      </c>
      <c r="BI140" s="76"/>
      <c r="BJ140" s="76" t="s">
        <v>7245</v>
      </c>
      <c r="BK140" s="76" t="b">
        <v>0</v>
      </c>
      <c r="BL140" s="76"/>
      <c r="BM140" s="76" t="s">
        <v>66</v>
      </c>
      <c r="BN140" s="76" t="s">
        <v>7247</v>
      </c>
      <c r="BO140" s="83" t="str">
        <f>HYPERLINK("https://twitter.com/moneymarkets_br")</f>
        <v>https://twitter.com/moneymarkets_br</v>
      </c>
      <c r="BP140" s="2"/>
    </row>
    <row r="141" spans="1:68" x14ac:dyDescent="0.25">
      <c r="A141" s="62" t="s">
        <v>358</v>
      </c>
      <c r="B141" s="63"/>
      <c r="C141" s="63"/>
      <c r="D141" s="64"/>
      <c r="E141" s="66"/>
      <c r="F141" s="102" t="str">
        <f>HYPERLINK("https://pbs.twimg.com/profile_images/1654208793268420608/NTOoVT6O_normal.png")</f>
        <v>https://pbs.twimg.com/profile_images/1654208793268420608/NTOoVT6O_normal.png</v>
      </c>
      <c r="G141" s="63"/>
      <c r="H141" s="67"/>
      <c r="I141" s="68"/>
      <c r="J141" s="68"/>
      <c r="K141" s="67" t="s">
        <v>7385</v>
      </c>
      <c r="L141" s="71"/>
      <c r="M141" s="72"/>
      <c r="N141" s="72"/>
      <c r="O141" s="73"/>
      <c r="P141" s="74"/>
      <c r="Q141" s="74"/>
      <c r="R141" s="86"/>
      <c r="S141" s="86"/>
      <c r="T141" s="86"/>
      <c r="U141" s="86"/>
      <c r="V141" s="48"/>
      <c r="W141" s="48"/>
      <c r="X141" s="48"/>
      <c r="Y141" s="48"/>
      <c r="Z141" s="47"/>
      <c r="AA141" s="69">
        <v>141</v>
      </c>
      <c r="AB141" s="69"/>
      <c r="AC141" s="70"/>
      <c r="AD141" s="76" t="s">
        <v>6269</v>
      </c>
      <c r="AE141" s="81" t="s">
        <v>5951</v>
      </c>
      <c r="AF141" s="76">
        <v>3</v>
      </c>
      <c r="AG141" s="76">
        <v>15</v>
      </c>
      <c r="AH141" s="76">
        <v>15</v>
      </c>
      <c r="AI141" s="76">
        <v>0</v>
      </c>
      <c r="AJ141" s="76">
        <v>19</v>
      </c>
      <c r="AK141" s="76">
        <v>4</v>
      </c>
      <c r="AL141" s="76" t="b">
        <v>0</v>
      </c>
      <c r="AM141" s="78">
        <v>45050.818101851852</v>
      </c>
      <c r="AN141" s="76"/>
      <c r="AO141" s="76"/>
      <c r="AP141" s="76"/>
      <c r="AQ141" s="76"/>
      <c r="AR141" s="76"/>
      <c r="AS141" s="76"/>
      <c r="AT141" s="76"/>
      <c r="AU141" s="76"/>
      <c r="AV141" s="76"/>
      <c r="AW141" s="76"/>
      <c r="AX141" s="76" t="b">
        <v>0</v>
      </c>
      <c r="AY141" s="76"/>
      <c r="AZ141" s="76"/>
      <c r="BA141" s="76" t="b">
        <v>0</v>
      </c>
      <c r="BB141" s="76" t="b">
        <v>1</v>
      </c>
      <c r="BC141" s="76" t="b">
        <v>1</v>
      </c>
      <c r="BD141" s="76" t="b">
        <v>0</v>
      </c>
      <c r="BE141" s="76" t="b">
        <v>0</v>
      </c>
      <c r="BF141" s="76" t="b">
        <v>0</v>
      </c>
      <c r="BG141" s="76" t="b">
        <v>0</v>
      </c>
      <c r="BH141" s="76"/>
      <c r="BI141" s="76"/>
      <c r="BJ141" s="76" t="s">
        <v>7245</v>
      </c>
      <c r="BK141" s="76" t="b">
        <v>0</v>
      </c>
      <c r="BL141" s="76"/>
      <c r="BM141" s="76" t="s">
        <v>66</v>
      </c>
      <c r="BN141" s="76" t="s">
        <v>7247</v>
      </c>
      <c r="BO141" s="83" t="str">
        <f>HYPERLINK("https://twitter.com/patriciaalc0211")</f>
        <v>https://twitter.com/patriciaalc0211</v>
      </c>
      <c r="BP141" s="2"/>
    </row>
    <row r="142" spans="1:68" x14ac:dyDescent="0.25">
      <c r="A142" s="62" t="s">
        <v>359</v>
      </c>
      <c r="B142" s="63"/>
      <c r="C142" s="63"/>
      <c r="D142" s="64"/>
      <c r="E142" s="66"/>
      <c r="F142" s="102" t="str">
        <f>HYPERLINK("https://pbs.twimg.com/profile_images/1619347986114383872/IEWD9S3-_normal.jpg")</f>
        <v>https://pbs.twimg.com/profile_images/1619347986114383872/IEWD9S3-_normal.jpg</v>
      </c>
      <c r="G142" s="63"/>
      <c r="H142" s="67"/>
      <c r="I142" s="68"/>
      <c r="J142" s="68"/>
      <c r="K142" s="67" t="s">
        <v>7386</v>
      </c>
      <c r="L142" s="71"/>
      <c r="M142" s="72"/>
      <c r="N142" s="72"/>
      <c r="O142" s="73"/>
      <c r="P142" s="74"/>
      <c r="Q142" s="74"/>
      <c r="R142" s="86"/>
      <c r="S142" s="86"/>
      <c r="T142" s="86"/>
      <c r="U142" s="86"/>
      <c r="V142" s="48"/>
      <c r="W142" s="48"/>
      <c r="X142" s="48"/>
      <c r="Y142" s="48"/>
      <c r="Z142" s="47"/>
      <c r="AA142" s="69">
        <v>142</v>
      </c>
      <c r="AB142" s="69"/>
      <c r="AC142" s="70"/>
      <c r="AD142" s="76" t="s">
        <v>6270</v>
      </c>
      <c r="AE142" s="81" t="s">
        <v>5588</v>
      </c>
      <c r="AF142" s="76">
        <v>629</v>
      </c>
      <c r="AG142" s="76">
        <v>469</v>
      </c>
      <c r="AH142" s="76">
        <v>3369</v>
      </c>
      <c r="AI142" s="76">
        <v>13</v>
      </c>
      <c r="AJ142" s="76">
        <v>195</v>
      </c>
      <c r="AK142" s="76">
        <v>166</v>
      </c>
      <c r="AL142" s="76" t="b">
        <v>0</v>
      </c>
      <c r="AM142" s="78">
        <v>39745.566412037035</v>
      </c>
      <c r="AN142" s="76" t="s">
        <v>6587</v>
      </c>
      <c r="AO142" s="76" t="s">
        <v>6796</v>
      </c>
      <c r="AP142" s="83" t="str">
        <f>HYPERLINK("https://t.co/wXg3pIxNeW")</f>
        <v>https://t.co/wXg3pIxNeW</v>
      </c>
      <c r="AQ142" s="83" t="str">
        <f>HYPERLINK("https://lucianomathias.substack.com")</f>
        <v>https://lucianomathias.substack.com</v>
      </c>
      <c r="AR142" s="76" t="s">
        <v>7077</v>
      </c>
      <c r="AS142" s="76"/>
      <c r="AT142" s="76"/>
      <c r="AU142" s="76"/>
      <c r="AV142" s="76"/>
      <c r="AW142" s="83" t="str">
        <f>HYPERLINK("https://t.co/wXg3pIxNeW")</f>
        <v>https://t.co/wXg3pIxNeW</v>
      </c>
      <c r="AX142" s="76" t="b">
        <v>0</v>
      </c>
      <c r="AY142" s="76"/>
      <c r="AZ142" s="76"/>
      <c r="BA142" s="76" t="b">
        <v>0</v>
      </c>
      <c r="BB142" s="76" t="b">
        <v>1</v>
      </c>
      <c r="BC142" s="76" t="b">
        <v>0</v>
      </c>
      <c r="BD142" s="76" t="b">
        <v>0</v>
      </c>
      <c r="BE142" s="76" t="b">
        <v>1</v>
      </c>
      <c r="BF142" s="76" t="b">
        <v>0</v>
      </c>
      <c r="BG142" s="76" t="b">
        <v>0</v>
      </c>
      <c r="BH142" s="83" t="str">
        <f>HYPERLINK("https://pbs.twimg.com/profile_banners/16949110/1693337379")</f>
        <v>https://pbs.twimg.com/profile_banners/16949110/1693337379</v>
      </c>
      <c r="BI142" s="76"/>
      <c r="BJ142" s="76" t="s">
        <v>7245</v>
      </c>
      <c r="BK142" s="76" t="b">
        <v>0</v>
      </c>
      <c r="BL142" s="76"/>
      <c r="BM142" s="76" t="s">
        <v>66</v>
      </c>
      <c r="BN142" s="76" t="s">
        <v>7247</v>
      </c>
      <c r="BO142" s="83" t="str">
        <f>HYPERLINK("https://twitter.com/lucianomathias")</f>
        <v>https://twitter.com/lucianomathias</v>
      </c>
      <c r="BP142" s="2"/>
    </row>
    <row r="143" spans="1:68" x14ac:dyDescent="0.25">
      <c r="A143" s="62" t="s">
        <v>360</v>
      </c>
      <c r="B143" s="63"/>
      <c r="C143" s="63"/>
      <c r="D143" s="64"/>
      <c r="E143" s="66"/>
      <c r="F143" s="102" t="str">
        <f>HYPERLINK("https://pbs.twimg.com/profile_images/1645594350682877954/tNntaFA2_normal.jpg")</f>
        <v>https://pbs.twimg.com/profile_images/1645594350682877954/tNntaFA2_normal.jpg</v>
      </c>
      <c r="G143" s="63"/>
      <c r="H143" s="67"/>
      <c r="I143" s="68"/>
      <c r="J143" s="68"/>
      <c r="K143" s="67" t="s">
        <v>7387</v>
      </c>
      <c r="L143" s="71"/>
      <c r="M143" s="72"/>
      <c r="N143" s="72"/>
      <c r="O143" s="73"/>
      <c r="P143" s="74"/>
      <c r="Q143" s="74"/>
      <c r="R143" s="86"/>
      <c r="S143" s="86"/>
      <c r="T143" s="86"/>
      <c r="U143" s="86"/>
      <c r="V143" s="48"/>
      <c r="W143" s="48"/>
      <c r="X143" s="48"/>
      <c r="Y143" s="48"/>
      <c r="Z143" s="47"/>
      <c r="AA143" s="69">
        <v>143</v>
      </c>
      <c r="AB143" s="69"/>
      <c r="AC143" s="70"/>
      <c r="AD143" s="76" t="s">
        <v>6271</v>
      </c>
      <c r="AE143" s="81" t="s">
        <v>5952</v>
      </c>
      <c r="AF143" s="76">
        <v>0</v>
      </c>
      <c r="AG143" s="76">
        <v>7</v>
      </c>
      <c r="AH143" s="76">
        <v>33</v>
      </c>
      <c r="AI143" s="76">
        <v>0</v>
      </c>
      <c r="AJ143" s="76">
        <v>2</v>
      </c>
      <c r="AK143" s="76">
        <v>27</v>
      </c>
      <c r="AL143" s="76" t="b">
        <v>0</v>
      </c>
      <c r="AM143" s="78">
        <v>44810.114965277775</v>
      </c>
      <c r="AN143" s="76" t="s">
        <v>3752</v>
      </c>
      <c r="AO143" s="76" t="s">
        <v>6797</v>
      </c>
      <c r="AP143" s="83" t="str">
        <f>HYPERLINK("https://t.co/ujqH7DwfRM")</f>
        <v>https://t.co/ujqH7DwfRM</v>
      </c>
      <c r="AQ143" s="83" t="str">
        <f>HYPERLINK("https://sun.eduzz.com/1562071?a=56499626")</f>
        <v>https://sun.eduzz.com/1562071?a=56499626</v>
      </c>
      <c r="AR143" s="76" t="s">
        <v>7078</v>
      </c>
      <c r="AS143" s="76"/>
      <c r="AT143" s="76"/>
      <c r="AU143" s="76"/>
      <c r="AV143" s="76">
        <v>1.64559386361504E+18</v>
      </c>
      <c r="AW143" s="83" t="str">
        <f>HYPERLINK("https://t.co/ujqH7DwfRM")</f>
        <v>https://t.co/ujqH7DwfRM</v>
      </c>
      <c r="AX143" s="76" t="b">
        <v>0</v>
      </c>
      <c r="AY143" s="76"/>
      <c r="AZ143" s="76"/>
      <c r="BA143" s="76" t="b">
        <v>0</v>
      </c>
      <c r="BB143" s="76" t="b">
        <v>1</v>
      </c>
      <c r="BC143" s="76" t="b">
        <v>1</v>
      </c>
      <c r="BD143" s="76" t="b">
        <v>0</v>
      </c>
      <c r="BE143" s="76" t="b">
        <v>0</v>
      </c>
      <c r="BF143" s="76" t="b">
        <v>0</v>
      </c>
      <c r="BG143" s="76" t="b">
        <v>0</v>
      </c>
      <c r="BH143" s="76"/>
      <c r="BI143" s="76"/>
      <c r="BJ143" s="76" t="s">
        <v>7245</v>
      </c>
      <c r="BK143" s="76" t="b">
        <v>0</v>
      </c>
      <c r="BL143" s="76"/>
      <c r="BM143" s="76" t="s">
        <v>66</v>
      </c>
      <c r="BN143" s="76" t="s">
        <v>7247</v>
      </c>
      <c r="BO143" s="83" t="str">
        <f>HYPERLINK("https://twitter.com/pamelam72356001")</f>
        <v>https://twitter.com/pamelam72356001</v>
      </c>
      <c r="BP143" s="2"/>
    </row>
    <row r="144" spans="1:68" x14ac:dyDescent="0.25">
      <c r="A144" s="62" t="s">
        <v>568</v>
      </c>
      <c r="B144" s="63"/>
      <c r="C144" s="63"/>
      <c r="D144" s="64"/>
      <c r="E144" s="66"/>
      <c r="F144" s="102" t="str">
        <f>HYPERLINK("https://pbs.twimg.com/profile_images/56697443/vendas.de_normal.jpg")</f>
        <v>https://pbs.twimg.com/profile_images/56697443/vendas.de_normal.jpg</v>
      </c>
      <c r="G144" s="63"/>
      <c r="H144" s="67"/>
      <c r="I144" s="68"/>
      <c r="J144" s="68"/>
      <c r="K144" s="67" t="s">
        <v>7388</v>
      </c>
      <c r="L144" s="71"/>
      <c r="M144" s="72"/>
      <c r="N144" s="72"/>
      <c r="O144" s="73"/>
      <c r="P144" s="74"/>
      <c r="Q144" s="74"/>
      <c r="R144" s="86"/>
      <c r="S144" s="86"/>
      <c r="T144" s="86"/>
      <c r="U144" s="86"/>
      <c r="V144" s="48"/>
      <c r="W144" s="48"/>
      <c r="X144" s="48"/>
      <c r="Y144" s="48"/>
      <c r="Z144" s="47"/>
      <c r="AA144" s="69">
        <v>144</v>
      </c>
      <c r="AB144" s="69"/>
      <c r="AC144" s="70"/>
      <c r="AD144" s="76" t="s">
        <v>568</v>
      </c>
      <c r="AE144" s="81" t="s">
        <v>6508</v>
      </c>
      <c r="AF144" s="76">
        <v>256</v>
      </c>
      <c r="AG144" s="76">
        <v>1</v>
      </c>
      <c r="AH144" s="76">
        <v>0</v>
      </c>
      <c r="AI144" s="76">
        <v>3</v>
      </c>
      <c r="AJ144" s="76">
        <v>0</v>
      </c>
      <c r="AK144" s="76">
        <v>0</v>
      </c>
      <c r="AL144" s="76" t="b">
        <v>0</v>
      </c>
      <c r="AM144" s="78">
        <v>39644.748599537037</v>
      </c>
      <c r="AN144" s="76"/>
      <c r="AO144" s="76"/>
      <c r="AP144" s="76"/>
      <c r="AQ144" s="76"/>
      <c r="AR144" s="76"/>
      <c r="AS144" s="76"/>
      <c r="AT144" s="76"/>
      <c r="AU144" s="76"/>
      <c r="AV144" s="76"/>
      <c r="AW144" s="76"/>
      <c r="AX144" s="76" t="b">
        <v>0</v>
      </c>
      <c r="AY144" s="76"/>
      <c r="AZ144" s="76"/>
      <c r="BA144" s="76" t="b">
        <v>0</v>
      </c>
      <c r="BB144" s="76" t="b">
        <v>1</v>
      </c>
      <c r="BC144" s="76" t="b">
        <v>0</v>
      </c>
      <c r="BD144" s="76" t="b">
        <v>0</v>
      </c>
      <c r="BE144" s="76" t="b">
        <v>0</v>
      </c>
      <c r="BF144" s="76" t="b">
        <v>0</v>
      </c>
      <c r="BG144" s="76" t="b">
        <v>0</v>
      </c>
      <c r="BH144" s="76"/>
      <c r="BI144" s="76"/>
      <c r="BJ144" s="76" t="s">
        <v>7245</v>
      </c>
      <c r="BK144" s="76" t="b">
        <v>0</v>
      </c>
      <c r="BL144" s="76"/>
      <c r="BM144" s="76" t="s">
        <v>65</v>
      </c>
      <c r="BN144" s="76" t="s">
        <v>7247</v>
      </c>
      <c r="BO144" s="83" t="str">
        <f>HYPERLINK("https://twitter.com/vendas")</f>
        <v>https://twitter.com/vendas</v>
      </c>
      <c r="BP144" s="2"/>
    </row>
    <row r="145" spans="1:68" x14ac:dyDescent="0.25">
      <c r="A145" s="62" t="s">
        <v>361</v>
      </c>
      <c r="B145" s="63"/>
      <c r="C145" s="63"/>
      <c r="D145" s="64"/>
      <c r="E145" s="66"/>
      <c r="F145" s="102" t="str">
        <f>HYPERLINK("https://pbs.twimg.com/profile_images/1618455964897755136/znsDzSdT_normal.jpg")</f>
        <v>https://pbs.twimg.com/profile_images/1618455964897755136/znsDzSdT_normal.jpg</v>
      </c>
      <c r="G145" s="63"/>
      <c r="H145" s="67"/>
      <c r="I145" s="68"/>
      <c r="J145" s="68"/>
      <c r="K145" s="67" t="s">
        <v>7389</v>
      </c>
      <c r="L145" s="71"/>
      <c r="M145" s="72"/>
      <c r="N145" s="72"/>
      <c r="O145" s="73"/>
      <c r="P145" s="74"/>
      <c r="Q145" s="74"/>
      <c r="R145" s="86"/>
      <c r="S145" s="86"/>
      <c r="T145" s="86"/>
      <c r="U145" s="86"/>
      <c r="V145" s="48"/>
      <c r="W145" s="48"/>
      <c r="X145" s="48"/>
      <c r="Y145" s="48"/>
      <c r="Z145" s="47"/>
      <c r="AA145" s="69">
        <v>145</v>
      </c>
      <c r="AB145" s="69"/>
      <c r="AC145" s="70"/>
      <c r="AD145" s="76" t="s">
        <v>6272</v>
      </c>
      <c r="AE145" s="81" t="s">
        <v>5953</v>
      </c>
      <c r="AF145" s="76">
        <v>5</v>
      </c>
      <c r="AG145" s="76">
        <v>73</v>
      </c>
      <c r="AH145" s="76">
        <v>19</v>
      </c>
      <c r="AI145" s="76">
        <v>0</v>
      </c>
      <c r="AJ145" s="76">
        <v>46</v>
      </c>
      <c r="AK145" s="76">
        <v>1</v>
      </c>
      <c r="AL145" s="76" t="b">
        <v>0</v>
      </c>
      <c r="AM145" s="78">
        <v>44952.149421296293</v>
      </c>
      <c r="AN145" s="76"/>
      <c r="AO145" s="76" t="s">
        <v>6798</v>
      </c>
      <c r="AP145" s="83" t="str">
        <f>HYPERLINK("https://t.co/mgV3lJcq4a")</f>
        <v>https://t.co/mgV3lJcq4a</v>
      </c>
      <c r="AQ145" s="83" t="str">
        <f>HYPERLINK("https://wa.me/5512996065106")</f>
        <v>https://wa.me/5512996065106</v>
      </c>
      <c r="AR145" s="76" t="s">
        <v>7079</v>
      </c>
      <c r="AS145" s="76"/>
      <c r="AT145" s="76"/>
      <c r="AU145" s="76"/>
      <c r="AV145" s="76"/>
      <c r="AW145" s="83" t="str">
        <f>HYPERLINK("https://t.co/mgV3lJcq4a")</f>
        <v>https://t.co/mgV3lJcq4a</v>
      </c>
      <c r="AX145" s="76" t="b">
        <v>0</v>
      </c>
      <c r="AY145" s="76"/>
      <c r="AZ145" s="76"/>
      <c r="BA145" s="76" t="b">
        <v>0</v>
      </c>
      <c r="BB145" s="76" t="b">
        <v>1</v>
      </c>
      <c r="BC145" s="76" t="b">
        <v>1</v>
      </c>
      <c r="BD145" s="76" t="b">
        <v>0</v>
      </c>
      <c r="BE145" s="76" t="b">
        <v>0</v>
      </c>
      <c r="BF145" s="76" t="b">
        <v>0</v>
      </c>
      <c r="BG145" s="76" t="b">
        <v>0</v>
      </c>
      <c r="BH145" s="76"/>
      <c r="BI145" s="76"/>
      <c r="BJ145" s="76" t="s">
        <v>7245</v>
      </c>
      <c r="BK145" s="76" t="b">
        <v>0</v>
      </c>
      <c r="BL145" s="76"/>
      <c r="BM145" s="76" t="s">
        <v>66</v>
      </c>
      <c r="BN145" s="76" t="s">
        <v>7247</v>
      </c>
      <c r="BO145" s="83" t="str">
        <f>HYPERLINK("https://twitter.com/diego_motivador")</f>
        <v>https://twitter.com/diego_motivador</v>
      </c>
      <c r="BP145" s="2"/>
    </row>
    <row r="146" spans="1:68" x14ac:dyDescent="0.25">
      <c r="A146" s="62" t="s">
        <v>362</v>
      </c>
      <c r="B146" s="63"/>
      <c r="C146" s="63"/>
      <c r="D146" s="64"/>
      <c r="E146" s="66"/>
      <c r="F146" s="102" t="str">
        <f>HYPERLINK("https://pbs.twimg.com/profile_images/1616841816862609412/80OwcyR4_normal.jpg")</f>
        <v>https://pbs.twimg.com/profile_images/1616841816862609412/80OwcyR4_normal.jpg</v>
      </c>
      <c r="G146" s="63"/>
      <c r="H146" s="67"/>
      <c r="I146" s="68"/>
      <c r="J146" s="68"/>
      <c r="K146" s="67" t="s">
        <v>7390</v>
      </c>
      <c r="L146" s="71"/>
      <c r="M146" s="72"/>
      <c r="N146" s="72"/>
      <c r="O146" s="73"/>
      <c r="P146" s="74"/>
      <c r="Q146" s="74"/>
      <c r="R146" s="86"/>
      <c r="S146" s="86"/>
      <c r="T146" s="86"/>
      <c r="U146" s="86"/>
      <c r="V146" s="48"/>
      <c r="W146" s="48"/>
      <c r="X146" s="48"/>
      <c r="Y146" s="48"/>
      <c r="Z146" s="47"/>
      <c r="AA146" s="69">
        <v>146</v>
      </c>
      <c r="AB146" s="69"/>
      <c r="AC146" s="70"/>
      <c r="AD146" s="76" t="s">
        <v>6273</v>
      </c>
      <c r="AE146" s="81" t="s">
        <v>5954</v>
      </c>
      <c r="AF146" s="76">
        <v>2</v>
      </c>
      <c r="AG146" s="76">
        <v>23</v>
      </c>
      <c r="AH146" s="76">
        <v>2</v>
      </c>
      <c r="AI146" s="76">
        <v>0</v>
      </c>
      <c r="AJ146" s="76">
        <v>0</v>
      </c>
      <c r="AK146" s="76">
        <v>0</v>
      </c>
      <c r="AL146" s="76" t="b">
        <v>0</v>
      </c>
      <c r="AM146" s="78">
        <v>44934.870520833334</v>
      </c>
      <c r="AN146" s="76" t="s">
        <v>6614</v>
      </c>
      <c r="AO146" s="76" t="s">
        <v>6799</v>
      </c>
      <c r="AP146" s="76"/>
      <c r="AQ146" s="76"/>
      <c r="AR146" s="76"/>
      <c r="AS146" s="83" t="str">
        <f>HYPERLINK("https://t.co/yOmaWb5qoG")</f>
        <v>https://t.co/yOmaWb5qoG</v>
      </c>
      <c r="AT146" s="83" t="str">
        <f>HYPERLINK("https://pay.kiwify.com.br/6Qfv5XP?afid=TZ6sm6Hi")</f>
        <v>https://pay.kiwify.com.br/6Qfv5XP?afid=TZ6sm6Hi</v>
      </c>
      <c r="AU146" s="76" t="s">
        <v>7230</v>
      </c>
      <c r="AV146" s="76"/>
      <c r="AW146" s="76"/>
      <c r="AX146" s="76" t="b">
        <v>0</v>
      </c>
      <c r="AY146" s="76"/>
      <c r="AZ146" s="76"/>
      <c r="BA146" s="76" t="b">
        <v>0</v>
      </c>
      <c r="BB146" s="76" t="b">
        <v>1</v>
      </c>
      <c r="BC146" s="76" t="b">
        <v>1</v>
      </c>
      <c r="BD146" s="76" t="b">
        <v>0</v>
      </c>
      <c r="BE146" s="76" t="b">
        <v>0</v>
      </c>
      <c r="BF146" s="76" t="b">
        <v>0</v>
      </c>
      <c r="BG146" s="76" t="b">
        <v>0</v>
      </c>
      <c r="BH146" s="83" t="str">
        <f>HYPERLINK("https://pbs.twimg.com/profile_banners/1612190666787885056/1674320131")</f>
        <v>https://pbs.twimg.com/profile_banners/1612190666787885056/1674320131</v>
      </c>
      <c r="BI146" s="76"/>
      <c r="BJ146" s="76" t="s">
        <v>7245</v>
      </c>
      <c r="BK146" s="76" t="b">
        <v>0</v>
      </c>
      <c r="BL146" s="76"/>
      <c r="BM146" s="76" t="s">
        <v>66</v>
      </c>
      <c r="BN146" s="76" t="s">
        <v>7247</v>
      </c>
      <c r="BO146" s="83" t="str">
        <f>HYPERLINK("https://twitter.com/p_lucachinski")</f>
        <v>https://twitter.com/p_lucachinski</v>
      </c>
      <c r="BP146" s="2"/>
    </row>
    <row r="147" spans="1:68" x14ac:dyDescent="0.25">
      <c r="A147" s="62" t="s">
        <v>363</v>
      </c>
      <c r="B147" s="63"/>
      <c r="C147" s="63"/>
      <c r="D147" s="64"/>
      <c r="E147" s="66"/>
      <c r="F147" s="102" t="str">
        <f>HYPERLINK("https://pbs.twimg.com/profile_images/1667009897500913666/r14qLt-B_normal.jpg")</f>
        <v>https://pbs.twimg.com/profile_images/1667009897500913666/r14qLt-B_normal.jpg</v>
      </c>
      <c r="G147" s="63"/>
      <c r="H147" s="67"/>
      <c r="I147" s="68"/>
      <c r="J147" s="68"/>
      <c r="K147" s="67" t="s">
        <v>7391</v>
      </c>
      <c r="L147" s="71"/>
      <c r="M147" s="72"/>
      <c r="N147" s="72"/>
      <c r="O147" s="73"/>
      <c r="P147" s="74"/>
      <c r="Q147" s="74"/>
      <c r="R147" s="86"/>
      <c r="S147" s="86"/>
      <c r="T147" s="86"/>
      <c r="U147" s="86"/>
      <c r="V147" s="48"/>
      <c r="W147" s="48"/>
      <c r="X147" s="48"/>
      <c r="Y147" s="48"/>
      <c r="Z147" s="47"/>
      <c r="AA147" s="69">
        <v>147</v>
      </c>
      <c r="AB147" s="69"/>
      <c r="AC147" s="70"/>
      <c r="AD147" s="76" t="s">
        <v>6274</v>
      </c>
      <c r="AE147" s="81" t="s">
        <v>5955</v>
      </c>
      <c r="AF147" s="76">
        <v>109</v>
      </c>
      <c r="AG147" s="76">
        <v>36</v>
      </c>
      <c r="AH147" s="76">
        <v>245</v>
      </c>
      <c r="AI147" s="76">
        <v>0</v>
      </c>
      <c r="AJ147" s="76">
        <v>105</v>
      </c>
      <c r="AK147" s="76">
        <v>177</v>
      </c>
      <c r="AL147" s="76" t="b">
        <v>0</v>
      </c>
      <c r="AM147" s="78">
        <v>44999.170208333337</v>
      </c>
      <c r="AN147" s="76"/>
      <c r="AO147" s="76" t="s">
        <v>6800</v>
      </c>
      <c r="AP147" s="83" t="str">
        <f>HYPERLINK("https://t.co/SaTRAGBmkj")</f>
        <v>https://t.co/SaTRAGBmkj</v>
      </c>
      <c r="AQ147" s="83" t="str">
        <f>HYPERLINK("https://www.wikifx.com/pt/?source=pjo7")</f>
        <v>https://www.wikifx.com/pt/?source=pjo7</v>
      </c>
      <c r="AR147" s="76" t="s">
        <v>7080</v>
      </c>
      <c r="AS147" s="76"/>
      <c r="AT147" s="76"/>
      <c r="AU147" s="76"/>
      <c r="AV147" s="76">
        <v>1.6968165403338199E+18</v>
      </c>
      <c r="AW147" s="83" t="str">
        <f>HYPERLINK("https://t.co/SaTRAGBmkj")</f>
        <v>https://t.co/SaTRAGBmkj</v>
      </c>
      <c r="AX147" s="76" t="b">
        <v>0</v>
      </c>
      <c r="AY147" s="76"/>
      <c r="AZ147" s="76"/>
      <c r="BA147" s="76" t="b">
        <v>1</v>
      </c>
      <c r="BB147" s="76" t="b">
        <v>1</v>
      </c>
      <c r="BC147" s="76" t="b">
        <v>1</v>
      </c>
      <c r="BD147" s="76" t="b">
        <v>0</v>
      </c>
      <c r="BE147" s="76" t="b">
        <v>0</v>
      </c>
      <c r="BF147" s="76" t="b">
        <v>0</v>
      </c>
      <c r="BG147" s="76" t="b">
        <v>0</v>
      </c>
      <c r="BH147" s="83" t="str">
        <f>HYPERLINK("https://pbs.twimg.com/profile_banners/1635492170684846081/1690251382")</f>
        <v>https://pbs.twimg.com/profile_banners/1635492170684846081/1690251382</v>
      </c>
      <c r="BI147" s="76"/>
      <c r="BJ147" s="76" t="s">
        <v>7245</v>
      </c>
      <c r="BK147" s="76" t="b">
        <v>0</v>
      </c>
      <c r="BL147" s="76"/>
      <c r="BM147" s="76" t="s">
        <v>66</v>
      </c>
      <c r="BN147" s="76" t="s">
        <v>7247</v>
      </c>
      <c r="BO147" s="83" t="str">
        <f>HYPERLINK("https://twitter.com/wikifxbroficial")</f>
        <v>https://twitter.com/wikifxbroficial</v>
      </c>
      <c r="BP147" s="2"/>
    </row>
    <row r="148" spans="1:68" x14ac:dyDescent="0.25">
      <c r="A148" s="62" t="s">
        <v>364</v>
      </c>
      <c r="B148" s="63"/>
      <c r="C148" s="63"/>
      <c r="D148" s="64"/>
      <c r="E148" s="66"/>
      <c r="F148" s="102" t="str">
        <f>HYPERLINK("https://pbs.twimg.com/profile_images/1573715760773419008/Zqmb-kMr_normal.jpg")</f>
        <v>https://pbs.twimg.com/profile_images/1573715760773419008/Zqmb-kMr_normal.jpg</v>
      </c>
      <c r="G148" s="63"/>
      <c r="H148" s="67"/>
      <c r="I148" s="68"/>
      <c r="J148" s="68"/>
      <c r="K148" s="67" t="s">
        <v>7392</v>
      </c>
      <c r="L148" s="71"/>
      <c r="M148" s="72"/>
      <c r="N148" s="72"/>
      <c r="O148" s="73"/>
      <c r="P148" s="74"/>
      <c r="Q148" s="74"/>
      <c r="R148" s="86"/>
      <c r="S148" s="86"/>
      <c r="T148" s="86"/>
      <c r="U148" s="86"/>
      <c r="V148" s="48"/>
      <c r="W148" s="48"/>
      <c r="X148" s="48"/>
      <c r="Y148" s="48"/>
      <c r="Z148" s="47"/>
      <c r="AA148" s="69">
        <v>148</v>
      </c>
      <c r="AB148" s="69"/>
      <c r="AC148" s="70"/>
      <c r="AD148" s="76" t="s">
        <v>6275</v>
      </c>
      <c r="AE148" s="81" t="s">
        <v>5589</v>
      </c>
      <c r="AF148" s="76">
        <v>87</v>
      </c>
      <c r="AG148" s="76">
        <v>1183</v>
      </c>
      <c r="AH148" s="76">
        <v>2216</v>
      </c>
      <c r="AI148" s="76">
        <v>7</v>
      </c>
      <c r="AJ148" s="76">
        <v>2172</v>
      </c>
      <c r="AK148" s="76">
        <v>118</v>
      </c>
      <c r="AL148" s="76" t="b">
        <v>0</v>
      </c>
      <c r="AM148" s="78">
        <v>44477.618067129632</v>
      </c>
      <c r="AN148" s="76" t="s">
        <v>6615</v>
      </c>
      <c r="AO148" s="76" t="s">
        <v>6801</v>
      </c>
      <c r="AP148" s="76"/>
      <c r="AQ148" s="76"/>
      <c r="AR148" s="76"/>
      <c r="AS148" s="76"/>
      <c r="AT148" s="76"/>
      <c r="AU148" s="76"/>
      <c r="AV148" s="76">
        <v>1.6499850334517399E+18</v>
      </c>
      <c r="AW148" s="76"/>
      <c r="AX148" s="76" t="b">
        <v>0</v>
      </c>
      <c r="AY148" s="76"/>
      <c r="AZ148" s="76"/>
      <c r="BA148" s="76" t="b">
        <v>0</v>
      </c>
      <c r="BB148" s="76" t="b">
        <v>1</v>
      </c>
      <c r="BC148" s="76" t="b">
        <v>1</v>
      </c>
      <c r="BD148" s="76" t="b">
        <v>0</v>
      </c>
      <c r="BE148" s="76" t="b">
        <v>0</v>
      </c>
      <c r="BF148" s="76" t="b">
        <v>0</v>
      </c>
      <c r="BG148" s="76" t="b">
        <v>0</v>
      </c>
      <c r="BH148" s="83" t="str">
        <f>HYPERLINK("https://pbs.twimg.com/profile_banners/1446487919682748419/1645265597")</f>
        <v>https://pbs.twimg.com/profile_banners/1446487919682748419/1645265597</v>
      </c>
      <c r="BI148" s="76"/>
      <c r="BJ148" s="76" t="s">
        <v>7245</v>
      </c>
      <c r="BK148" s="76" t="b">
        <v>0</v>
      </c>
      <c r="BL148" s="76"/>
      <c r="BM148" s="76" t="s">
        <v>66</v>
      </c>
      <c r="BN148" s="76" t="s">
        <v>7247</v>
      </c>
      <c r="BO148" s="83" t="str">
        <f>HYPERLINK("https://twitter.com/japonews_eth")</f>
        <v>https://twitter.com/japonews_eth</v>
      </c>
      <c r="BP148" s="2"/>
    </row>
    <row r="149" spans="1:68" x14ac:dyDescent="0.25">
      <c r="A149" s="62" t="s">
        <v>365</v>
      </c>
      <c r="B149" s="63"/>
      <c r="C149" s="63"/>
      <c r="D149" s="64"/>
      <c r="E149" s="66"/>
      <c r="F149" s="102" t="str">
        <f>HYPERLINK("https://pbs.twimg.com/profile_images/1665741724944150528/FRk4T9Rz_normal.jpg")</f>
        <v>https://pbs.twimg.com/profile_images/1665741724944150528/FRk4T9Rz_normal.jpg</v>
      </c>
      <c r="G149" s="63"/>
      <c r="H149" s="67"/>
      <c r="I149" s="68"/>
      <c r="J149" s="68"/>
      <c r="K149" s="67" t="s">
        <v>7393</v>
      </c>
      <c r="L149" s="71"/>
      <c r="M149" s="72"/>
      <c r="N149" s="72"/>
      <c r="O149" s="73"/>
      <c r="P149" s="74"/>
      <c r="Q149" s="74"/>
      <c r="R149" s="86"/>
      <c r="S149" s="86"/>
      <c r="T149" s="86"/>
      <c r="U149" s="86"/>
      <c r="V149" s="48"/>
      <c r="W149" s="48"/>
      <c r="X149" s="48"/>
      <c r="Y149" s="48"/>
      <c r="Z149" s="47"/>
      <c r="AA149" s="69">
        <v>149</v>
      </c>
      <c r="AB149" s="69"/>
      <c r="AC149" s="70"/>
      <c r="AD149" s="76" t="s">
        <v>6276</v>
      </c>
      <c r="AE149" s="81" t="s">
        <v>5956</v>
      </c>
      <c r="AF149" s="76">
        <v>765</v>
      </c>
      <c r="AG149" s="76">
        <v>241</v>
      </c>
      <c r="AH149" s="76">
        <v>1232</v>
      </c>
      <c r="AI149" s="76">
        <v>2</v>
      </c>
      <c r="AJ149" s="76">
        <v>723</v>
      </c>
      <c r="AK149" s="76">
        <v>66</v>
      </c>
      <c r="AL149" s="76" t="b">
        <v>0</v>
      </c>
      <c r="AM149" s="78">
        <v>44719.813923611109</v>
      </c>
      <c r="AN149" s="76" t="s">
        <v>6616</v>
      </c>
      <c r="AO149" s="76" t="s">
        <v>6802</v>
      </c>
      <c r="AP149" s="83" t="str">
        <f>HYPERLINK("https://t.co/bhVq6GxfO5")</f>
        <v>https://t.co/bhVq6GxfO5</v>
      </c>
      <c r="AQ149" s="83" t="str">
        <f>HYPERLINK("https://opensea.io/Davidejesus")</f>
        <v>https://opensea.io/Davidejesus</v>
      </c>
      <c r="AR149" s="76" t="s">
        <v>7081</v>
      </c>
      <c r="AS149" s="76"/>
      <c r="AT149" s="76"/>
      <c r="AU149" s="76"/>
      <c r="AV149" s="76">
        <v>1.6657338413177001E+18</v>
      </c>
      <c r="AW149" s="83" t="str">
        <f>HYPERLINK("https://t.co/bhVq6GxfO5")</f>
        <v>https://t.co/bhVq6GxfO5</v>
      </c>
      <c r="AX149" s="76" t="b">
        <v>0</v>
      </c>
      <c r="AY149" s="76"/>
      <c r="AZ149" s="76"/>
      <c r="BA149" s="76" t="b">
        <v>0</v>
      </c>
      <c r="BB149" s="76" t="b">
        <v>1</v>
      </c>
      <c r="BC149" s="76" t="b">
        <v>1</v>
      </c>
      <c r="BD149" s="76" t="b">
        <v>0</v>
      </c>
      <c r="BE149" s="76" t="b">
        <v>0</v>
      </c>
      <c r="BF149" s="76" t="b">
        <v>0</v>
      </c>
      <c r="BG149" s="76" t="b">
        <v>0</v>
      </c>
      <c r="BH149" s="83" t="str">
        <f>HYPERLINK("https://pbs.twimg.com/profile_banners/1534256776333381634/1690746590")</f>
        <v>https://pbs.twimg.com/profile_banners/1534256776333381634/1690746590</v>
      </c>
      <c r="BI149" s="76"/>
      <c r="BJ149" s="76" t="s">
        <v>7245</v>
      </c>
      <c r="BK149" s="76" t="b">
        <v>0</v>
      </c>
      <c r="BL149" s="76"/>
      <c r="BM149" s="76" t="s">
        <v>66</v>
      </c>
      <c r="BN149" s="76" t="s">
        <v>7247</v>
      </c>
      <c r="BO149" s="83" t="str">
        <f>HYPERLINK("https://twitter.com/davidejesuseth")</f>
        <v>https://twitter.com/davidejesuseth</v>
      </c>
      <c r="BP149" s="2"/>
    </row>
    <row r="150" spans="1:68" x14ac:dyDescent="0.25">
      <c r="A150" s="62" t="s">
        <v>366</v>
      </c>
      <c r="B150" s="63"/>
      <c r="C150" s="63"/>
      <c r="D150" s="64"/>
      <c r="E150" s="66"/>
      <c r="F150" s="102" t="str">
        <f>HYPERLINK("https://pbs.twimg.com/profile_images/1647661958890438656/20TissF1_normal.jpg")</f>
        <v>https://pbs.twimg.com/profile_images/1647661958890438656/20TissF1_normal.jpg</v>
      </c>
      <c r="G150" s="63"/>
      <c r="H150" s="67"/>
      <c r="I150" s="68"/>
      <c r="J150" s="68"/>
      <c r="K150" s="67" t="s">
        <v>7394</v>
      </c>
      <c r="L150" s="71"/>
      <c r="M150" s="72"/>
      <c r="N150" s="72"/>
      <c r="O150" s="73"/>
      <c r="P150" s="74"/>
      <c r="Q150" s="74"/>
      <c r="R150" s="86"/>
      <c r="S150" s="86"/>
      <c r="T150" s="86"/>
      <c r="U150" s="86"/>
      <c r="V150" s="48"/>
      <c r="W150" s="48"/>
      <c r="X150" s="48"/>
      <c r="Y150" s="48"/>
      <c r="Z150" s="47"/>
      <c r="AA150" s="69">
        <v>150</v>
      </c>
      <c r="AB150" s="69"/>
      <c r="AC150" s="70"/>
      <c r="AD150" s="76" t="s">
        <v>6277</v>
      </c>
      <c r="AE150" s="81" t="s">
        <v>5957</v>
      </c>
      <c r="AF150" s="76">
        <v>7</v>
      </c>
      <c r="AG150" s="76">
        <v>269</v>
      </c>
      <c r="AH150" s="76">
        <v>37</v>
      </c>
      <c r="AI150" s="76">
        <v>1</v>
      </c>
      <c r="AJ150" s="76">
        <v>16</v>
      </c>
      <c r="AK150" s="76">
        <v>13</v>
      </c>
      <c r="AL150" s="76" t="b">
        <v>0</v>
      </c>
      <c r="AM150" s="78">
        <v>45032.739664351851</v>
      </c>
      <c r="AN150" s="76" t="s">
        <v>3794</v>
      </c>
      <c r="AO150" s="76" t="s">
        <v>6803</v>
      </c>
      <c r="AP150" s="83" t="str">
        <f>HYPERLINK("https://t.co/h6I3WZqsHB")</f>
        <v>https://t.co/h6I3WZqsHB</v>
      </c>
      <c r="AQ150" s="83" t="str">
        <f>HYPERLINK("https://www.instagram.com/dom.investor/")</f>
        <v>https://www.instagram.com/dom.investor/</v>
      </c>
      <c r="AR150" s="76" t="s">
        <v>7082</v>
      </c>
      <c r="AS150" s="76"/>
      <c r="AT150" s="76"/>
      <c r="AU150" s="76"/>
      <c r="AV150" s="76">
        <v>1.64997492455807E+18</v>
      </c>
      <c r="AW150" s="83" t="str">
        <f>HYPERLINK("https://t.co/h6I3WZqsHB")</f>
        <v>https://t.co/h6I3WZqsHB</v>
      </c>
      <c r="AX150" s="76" t="b">
        <v>0</v>
      </c>
      <c r="AY150" s="76"/>
      <c r="AZ150" s="76"/>
      <c r="BA150" s="76" t="b">
        <v>0</v>
      </c>
      <c r="BB150" s="76" t="b">
        <v>1</v>
      </c>
      <c r="BC150" s="76" t="b">
        <v>1</v>
      </c>
      <c r="BD150" s="76" t="b">
        <v>0</v>
      </c>
      <c r="BE150" s="76" t="b">
        <v>0</v>
      </c>
      <c r="BF150" s="76" t="b">
        <v>0</v>
      </c>
      <c r="BG150" s="76" t="b">
        <v>0</v>
      </c>
      <c r="BH150" s="83" t="str">
        <f>HYPERLINK("https://pbs.twimg.com/profile_banners/1647657073973313536/1681684881")</f>
        <v>https://pbs.twimg.com/profile_banners/1647657073973313536/1681684881</v>
      </c>
      <c r="BI150" s="76"/>
      <c r="BJ150" s="76" t="s">
        <v>7245</v>
      </c>
      <c r="BK150" s="76" t="b">
        <v>0</v>
      </c>
      <c r="BL150" s="76"/>
      <c r="BM150" s="76" t="s">
        <v>66</v>
      </c>
      <c r="BN150" s="76" t="s">
        <v>7247</v>
      </c>
      <c r="BO150" s="83" t="str">
        <f>HYPERLINK("https://twitter.com/dominvestidor")</f>
        <v>https://twitter.com/dominvestidor</v>
      </c>
      <c r="BP150" s="2"/>
    </row>
    <row r="151" spans="1:68" x14ac:dyDescent="0.25">
      <c r="A151" s="62" t="s">
        <v>367</v>
      </c>
      <c r="B151" s="63"/>
      <c r="C151" s="63"/>
      <c r="D151" s="64"/>
      <c r="E151" s="66"/>
      <c r="F151" s="102" t="str">
        <f>HYPERLINK("https://pbs.twimg.com/profile_images/1612480234032340994/3MWNVu0p_normal.jpg")</f>
        <v>https://pbs.twimg.com/profile_images/1612480234032340994/3MWNVu0p_normal.jpg</v>
      </c>
      <c r="G151" s="63"/>
      <c r="H151" s="67"/>
      <c r="I151" s="68"/>
      <c r="J151" s="68"/>
      <c r="K151" s="67" t="s">
        <v>7395</v>
      </c>
      <c r="L151" s="71"/>
      <c r="M151" s="72"/>
      <c r="N151" s="72"/>
      <c r="O151" s="73"/>
      <c r="P151" s="74"/>
      <c r="Q151" s="74"/>
      <c r="R151" s="86"/>
      <c r="S151" s="86"/>
      <c r="T151" s="86"/>
      <c r="U151" s="86"/>
      <c r="V151" s="48"/>
      <c r="W151" s="48"/>
      <c r="X151" s="48"/>
      <c r="Y151" s="48"/>
      <c r="Z151" s="47"/>
      <c r="AA151" s="69">
        <v>151</v>
      </c>
      <c r="AB151" s="69"/>
      <c r="AC151" s="70"/>
      <c r="AD151" s="76" t="s">
        <v>6278</v>
      </c>
      <c r="AE151" s="81" t="s">
        <v>5958</v>
      </c>
      <c r="AF151" s="76">
        <v>11</v>
      </c>
      <c r="AG151" s="76">
        <v>110</v>
      </c>
      <c r="AH151" s="76">
        <v>661</v>
      </c>
      <c r="AI151" s="76">
        <v>0</v>
      </c>
      <c r="AJ151" s="76">
        <v>0</v>
      </c>
      <c r="AK151" s="76">
        <v>526</v>
      </c>
      <c r="AL151" s="76" t="b">
        <v>0</v>
      </c>
      <c r="AM151" s="78">
        <v>44935.668923611112</v>
      </c>
      <c r="AN151" s="76"/>
      <c r="AO151" s="76" t="s">
        <v>6804</v>
      </c>
      <c r="AP151" s="83" t="str">
        <f>HYPERLINK("https://t.co/R1GCiRsBHg")</f>
        <v>https://t.co/R1GCiRsBHg</v>
      </c>
      <c r="AQ151" s="83" t="str">
        <f>HYPERLINK("http://bit.ly/3lGrUEY")</f>
        <v>http://bit.ly/3lGrUEY</v>
      </c>
      <c r="AR151" s="76" t="s">
        <v>7083</v>
      </c>
      <c r="AS151" s="83" t="str">
        <f>HYPERLINK("https://t.co/R1GCiRsBHg")</f>
        <v>https://t.co/R1GCiRsBHg</v>
      </c>
      <c r="AT151" s="83" t="str">
        <f>HYPERLINK("http://bit.ly/3lGrUEY")</f>
        <v>http://bit.ly/3lGrUEY</v>
      </c>
      <c r="AU151" s="76" t="s">
        <v>7083</v>
      </c>
      <c r="AV151" s="76"/>
      <c r="AW151" s="83" t="str">
        <f>HYPERLINK("https://t.co/R1GCiRsBHg")</f>
        <v>https://t.co/R1GCiRsBHg</v>
      </c>
      <c r="AX151" s="76" t="b">
        <v>0</v>
      </c>
      <c r="AY151" s="76"/>
      <c r="AZ151" s="76"/>
      <c r="BA151" s="76" t="b">
        <v>1</v>
      </c>
      <c r="BB151" s="76" t="b">
        <v>1</v>
      </c>
      <c r="BC151" s="76" t="b">
        <v>1</v>
      </c>
      <c r="BD151" s="76" t="b">
        <v>0</v>
      </c>
      <c r="BE151" s="76" t="b">
        <v>0</v>
      </c>
      <c r="BF151" s="76" t="b">
        <v>0</v>
      </c>
      <c r="BG151" s="76" t="b">
        <v>0</v>
      </c>
      <c r="BH151" s="83" t="str">
        <f>HYPERLINK("https://pbs.twimg.com/profile_banners/1612480070999760898/1675962207")</f>
        <v>https://pbs.twimg.com/profile_banners/1612480070999760898/1675962207</v>
      </c>
      <c r="BI151" s="76"/>
      <c r="BJ151" s="76" t="s">
        <v>7245</v>
      </c>
      <c r="BK151" s="76" t="b">
        <v>0</v>
      </c>
      <c r="BL151" s="76"/>
      <c r="BM151" s="76" t="s">
        <v>66</v>
      </c>
      <c r="BN151" s="76" t="s">
        <v>7247</v>
      </c>
      <c r="BO151" s="83" t="str">
        <f>HYPERLINK("https://twitter.com/gfmillionaerin")</f>
        <v>https://twitter.com/gfmillionaerin</v>
      </c>
      <c r="BP151" s="2"/>
    </row>
    <row r="152" spans="1:68" x14ac:dyDescent="0.25">
      <c r="A152" s="62" t="s">
        <v>368</v>
      </c>
      <c r="B152" s="63"/>
      <c r="C152" s="63"/>
      <c r="D152" s="64"/>
      <c r="E152" s="66"/>
      <c r="F152" s="102" t="str">
        <f>HYPERLINK("https://pbs.twimg.com/profile_images/1597661867991760898/0zu-YDon_normal.jpg")</f>
        <v>https://pbs.twimg.com/profile_images/1597661867991760898/0zu-YDon_normal.jpg</v>
      </c>
      <c r="G152" s="63"/>
      <c r="H152" s="67"/>
      <c r="I152" s="68"/>
      <c r="J152" s="68"/>
      <c r="K152" s="67" t="s">
        <v>7396</v>
      </c>
      <c r="L152" s="71"/>
      <c r="M152" s="72"/>
      <c r="N152" s="72"/>
      <c r="O152" s="73"/>
      <c r="P152" s="74"/>
      <c r="Q152" s="74"/>
      <c r="R152" s="86"/>
      <c r="S152" s="86"/>
      <c r="T152" s="86"/>
      <c r="U152" s="86"/>
      <c r="V152" s="48"/>
      <c r="W152" s="48"/>
      <c r="X152" s="48"/>
      <c r="Y152" s="48"/>
      <c r="Z152" s="47"/>
      <c r="AA152" s="69">
        <v>152</v>
      </c>
      <c r="AB152" s="69"/>
      <c r="AC152" s="70"/>
      <c r="AD152" s="76" t="s">
        <v>6279</v>
      </c>
      <c r="AE152" s="81" t="s">
        <v>5959</v>
      </c>
      <c r="AF152" s="76">
        <v>133</v>
      </c>
      <c r="AG152" s="76">
        <v>563</v>
      </c>
      <c r="AH152" s="76">
        <v>787</v>
      </c>
      <c r="AI152" s="76">
        <v>7</v>
      </c>
      <c r="AJ152" s="76">
        <v>1866</v>
      </c>
      <c r="AK152" s="76">
        <v>189</v>
      </c>
      <c r="AL152" s="76" t="b">
        <v>0</v>
      </c>
      <c r="AM152" s="78">
        <v>44513.969490740739</v>
      </c>
      <c r="AN152" s="76" t="s">
        <v>3797</v>
      </c>
      <c r="AO152" s="76" t="s">
        <v>6805</v>
      </c>
      <c r="AP152" s="83" t="str">
        <f>HYPERLINK("https://t.co/JvyRzKTsZE")</f>
        <v>https://t.co/JvyRzKTsZE</v>
      </c>
      <c r="AQ152" s="83" t="str">
        <f>HYPERLINK("https://hotmart.com/pt-br/marketplace/produtos/rebeliaodascryptos/F80805473B")</f>
        <v>https://hotmart.com/pt-br/marketplace/produtos/rebeliaodascryptos/F80805473B</v>
      </c>
      <c r="AR152" s="76" t="s">
        <v>7084</v>
      </c>
      <c r="AS152" s="76"/>
      <c r="AT152" s="76"/>
      <c r="AU152" s="76"/>
      <c r="AV152" s="76"/>
      <c r="AW152" s="83" t="str">
        <f>HYPERLINK("https://t.co/JvyRzKTsZE")</f>
        <v>https://t.co/JvyRzKTsZE</v>
      </c>
      <c r="AX152" s="76" t="b">
        <v>0</v>
      </c>
      <c r="AY152" s="76"/>
      <c r="AZ152" s="76"/>
      <c r="BA152" s="76" t="b">
        <v>0</v>
      </c>
      <c r="BB152" s="76" t="b">
        <v>1</v>
      </c>
      <c r="BC152" s="76" t="b">
        <v>1</v>
      </c>
      <c r="BD152" s="76" t="b">
        <v>0</v>
      </c>
      <c r="BE152" s="76" t="b">
        <v>1</v>
      </c>
      <c r="BF152" s="76" t="b">
        <v>0</v>
      </c>
      <c r="BG152" s="76" t="b">
        <v>0</v>
      </c>
      <c r="BH152" s="83" t="str">
        <f>HYPERLINK("https://pbs.twimg.com/profile_banners/1459660972575047682/1686408231")</f>
        <v>https://pbs.twimg.com/profile_banners/1459660972575047682/1686408231</v>
      </c>
      <c r="BI152" s="76"/>
      <c r="BJ152" s="76" t="s">
        <v>7245</v>
      </c>
      <c r="BK152" s="76" t="b">
        <v>0</v>
      </c>
      <c r="BL152" s="76"/>
      <c r="BM152" s="76" t="s">
        <v>66</v>
      </c>
      <c r="BN152" s="76" t="s">
        <v>7247</v>
      </c>
      <c r="BO152" s="83" t="str">
        <f>HYPERLINK("https://twitter.com/rebeliaocryptos")</f>
        <v>https://twitter.com/rebeliaocryptos</v>
      </c>
      <c r="BP152" s="2"/>
    </row>
    <row r="153" spans="1:68" x14ac:dyDescent="0.25">
      <c r="A153" s="62" t="s">
        <v>369</v>
      </c>
      <c r="B153" s="63"/>
      <c r="C153" s="63"/>
      <c r="D153" s="64"/>
      <c r="E153" s="66"/>
      <c r="F153" s="102" t="str">
        <f>HYPERLINK("https://pbs.twimg.com/profile_images/1432142685389864964/5T_itBVR_normal.jpg")</f>
        <v>https://pbs.twimg.com/profile_images/1432142685389864964/5T_itBVR_normal.jpg</v>
      </c>
      <c r="G153" s="63"/>
      <c r="H153" s="67"/>
      <c r="I153" s="68"/>
      <c r="J153" s="68"/>
      <c r="K153" s="67" t="s">
        <v>7397</v>
      </c>
      <c r="L153" s="71"/>
      <c r="M153" s="72"/>
      <c r="N153" s="72"/>
      <c r="O153" s="73"/>
      <c r="P153" s="74"/>
      <c r="Q153" s="74"/>
      <c r="R153" s="86"/>
      <c r="S153" s="86"/>
      <c r="T153" s="86"/>
      <c r="U153" s="86"/>
      <c r="V153" s="48"/>
      <c r="W153" s="48"/>
      <c r="X153" s="48"/>
      <c r="Y153" s="48"/>
      <c r="Z153" s="47"/>
      <c r="AA153" s="69">
        <v>153</v>
      </c>
      <c r="AB153" s="69"/>
      <c r="AC153" s="70"/>
      <c r="AD153" s="76" t="s">
        <v>6280</v>
      </c>
      <c r="AE153" s="81" t="s">
        <v>5590</v>
      </c>
      <c r="AF153" s="76">
        <v>330</v>
      </c>
      <c r="AG153" s="76">
        <v>341</v>
      </c>
      <c r="AH153" s="76">
        <v>2441</v>
      </c>
      <c r="AI153" s="76">
        <v>1</v>
      </c>
      <c r="AJ153" s="76">
        <v>4261</v>
      </c>
      <c r="AK153" s="76">
        <v>243</v>
      </c>
      <c r="AL153" s="76" t="b">
        <v>0</v>
      </c>
      <c r="AM153" s="78">
        <v>43965.622812499998</v>
      </c>
      <c r="AN153" s="76" t="s">
        <v>3752</v>
      </c>
      <c r="AO153" s="76" t="s">
        <v>6806</v>
      </c>
      <c r="AP153" s="76"/>
      <c r="AQ153" s="76"/>
      <c r="AR153" s="76"/>
      <c r="AS153" s="76"/>
      <c r="AT153" s="76"/>
      <c r="AU153" s="76"/>
      <c r="AV153" s="76">
        <v>1.6893735654416799E+18</v>
      </c>
      <c r="AW153" s="76"/>
      <c r="AX153" s="76" t="b">
        <v>0</v>
      </c>
      <c r="AY153" s="76"/>
      <c r="AZ153" s="76"/>
      <c r="BA153" s="76" t="b">
        <v>0</v>
      </c>
      <c r="BB153" s="76" t="b">
        <v>0</v>
      </c>
      <c r="BC153" s="76" t="b">
        <v>1</v>
      </c>
      <c r="BD153" s="76" t="b">
        <v>0</v>
      </c>
      <c r="BE153" s="76" t="b">
        <v>0</v>
      </c>
      <c r="BF153" s="76" t="b">
        <v>0</v>
      </c>
      <c r="BG153" s="76" t="b">
        <v>0</v>
      </c>
      <c r="BH153" s="83" t="str">
        <f>HYPERLINK("https://pbs.twimg.com/profile_banners/1260947074306265090/1675874141")</f>
        <v>https://pbs.twimg.com/profile_banners/1260947074306265090/1675874141</v>
      </c>
      <c r="BI153" s="76"/>
      <c r="BJ153" s="76" t="s">
        <v>7245</v>
      </c>
      <c r="BK153" s="76" t="b">
        <v>0</v>
      </c>
      <c r="BL153" s="76"/>
      <c r="BM153" s="76" t="s">
        <v>66</v>
      </c>
      <c r="BN153" s="76" t="s">
        <v>7247</v>
      </c>
      <c r="BO153" s="83" t="str">
        <f>HYPERLINK("https://twitter.com/flaviam14759869")</f>
        <v>https://twitter.com/flaviam14759869</v>
      </c>
      <c r="BP153" s="2"/>
    </row>
    <row r="154" spans="1:68" x14ac:dyDescent="0.25">
      <c r="A154" s="62" t="s">
        <v>370</v>
      </c>
      <c r="B154" s="63"/>
      <c r="C154" s="63"/>
      <c r="D154" s="64"/>
      <c r="E154" s="66"/>
      <c r="F154" s="102" t="str">
        <f>HYPERLINK("https://pbs.twimg.com/profile_images/1168497822011838464/VTU361vX_normal.jpg")</f>
        <v>https://pbs.twimg.com/profile_images/1168497822011838464/VTU361vX_normal.jpg</v>
      </c>
      <c r="G154" s="63"/>
      <c r="H154" s="67"/>
      <c r="I154" s="68"/>
      <c r="J154" s="68"/>
      <c r="K154" s="67" t="s">
        <v>7398</v>
      </c>
      <c r="L154" s="71"/>
      <c r="M154" s="72"/>
      <c r="N154" s="72"/>
      <c r="O154" s="73"/>
      <c r="P154" s="74"/>
      <c r="Q154" s="74"/>
      <c r="R154" s="86"/>
      <c r="S154" s="86"/>
      <c r="T154" s="86"/>
      <c r="U154" s="86"/>
      <c r="V154" s="48"/>
      <c r="W154" s="48"/>
      <c r="X154" s="48"/>
      <c r="Y154" s="48"/>
      <c r="Z154" s="47"/>
      <c r="AA154" s="69">
        <v>154</v>
      </c>
      <c r="AB154" s="69"/>
      <c r="AC154" s="70"/>
      <c r="AD154" s="76" t="s">
        <v>6281</v>
      </c>
      <c r="AE154" s="81" t="s">
        <v>5960</v>
      </c>
      <c r="AF154" s="76">
        <v>25</v>
      </c>
      <c r="AG154" s="76">
        <v>23</v>
      </c>
      <c r="AH154" s="76">
        <v>405</v>
      </c>
      <c r="AI154" s="76">
        <v>0</v>
      </c>
      <c r="AJ154" s="76">
        <v>497</v>
      </c>
      <c r="AK154" s="76">
        <v>277</v>
      </c>
      <c r="AL154" s="76" t="b">
        <v>0</v>
      </c>
      <c r="AM154" s="78">
        <v>43710.493032407408</v>
      </c>
      <c r="AN154" s="76"/>
      <c r="AO154" s="76" t="s">
        <v>6807</v>
      </c>
      <c r="AP154" s="76"/>
      <c r="AQ154" s="76"/>
      <c r="AR154" s="76"/>
      <c r="AS154" s="76"/>
      <c r="AT154" s="76"/>
      <c r="AU154" s="76"/>
      <c r="AV154" s="76">
        <v>1.67573464037471E+18</v>
      </c>
      <c r="AW154" s="76"/>
      <c r="AX154" s="76" t="b">
        <v>0</v>
      </c>
      <c r="AY154" s="76"/>
      <c r="AZ154" s="76"/>
      <c r="BA154" s="76" t="b">
        <v>0</v>
      </c>
      <c r="BB154" s="76" t="b">
        <v>1</v>
      </c>
      <c r="BC154" s="76" t="b">
        <v>1</v>
      </c>
      <c r="BD154" s="76" t="b">
        <v>0</v>
      </c>
      <c r="BE154" s="76" t="b">
        <v>0</v>
      </c>
      <c r="BF154" s="76" t="b">
        <v>0</v>
      </c>
      <c r="BG154" s="76" t="b">
        <v>0</v>
      </c>
      <c r="BH154" s="76"/>
      <c r="BI154" s="76"/>
      <c r="BJ154" s="76" t="s">
        <v>7245</v>
      </c>
      <c r="BK154" s="76" t="b">
        <v>0</v>
      </c>
      <c r="BL154" s="76"/>
      <c r="BM154" s="76" t="s">
        <v>66</v>
      </c>
      <c r="BN154" s="76" t="s">
        <v>7247</v>
      </c>
      <c r="BO154" s="83" t="str">
        <f>HYPERLINK("https://twitter.com/puneetkohli1979")</f>
        <v>https://twitter.com/puneetkohli1979</v>
      </c>
      <c r="BP154" s="2"/>
    </row>
    <row r="155" spans="1:68" x14ac:dyDescent="0.25">
      <c r="A155" s="62" t="s">
        <v>371</v>
      </c>
      <c r="B155" s="63"/>
      <c r="C155" s="63"/>
      <c r="D155" s="64"/>
      <c r="E155" s="66"/>
      <c r="F155" s="102" t="str">
        <f>HYPERLINK("https://pbs.twimg.com/profile_images/1523640063397179393/A9i71JMU_normal.jpg")</f>
        <v>https://pbs.twimg.com/profile_images/1523640063397179393/A9i71JMU_normal.jpg</v>
      </c>
      <c r="G155" s="63"/>
      <c r="H155" s="67"/>
      <c r="I155" s="68"/>
      <c r="J155" s="68"/>
      <c r="K155" s="67" t="s">
        <v>7399</v>
      </c>
      <c r="L155" s="71"/>
      <c r="M155" s="72"/>
      <c r="N155" s="72"/>
      <c r="O155" s="73"/>
      <c r="P155" s="74"/>
      <c r="Q155" s="74"/>
      <c r="R155" s="86"/>
      <c r="S155" s="86"/>
      <c r="T155" s="86"/>
      <c r="U155" s="86"/>
      <c r="V155" s="48"/>
      <c r="W155" s="48"/>
      <c r="X155" s="48"/>
      <c r="Y155" s="48"/>
      <c r="Z155" s="47"/>
      <c r="AA155" s="69">
        <v>155</v>
      </c>
      <c r="AB155" s="69"/>
      <c r="AC155" s="70"/>
      <c r="AD155" s="76" t="s">
        <v>6282</v>
      </c>
      <c r="AE155" s="81" t="s">
        <v>5961</v>
      </c>
      <c r="AF155" s="76">
        <v>28</v>
      </c>
      <c r="AG155" s="76">
        <v>48</v>
      </c>
      <c r="AH155" s="76">
        <v>274</v>
      </c>
      <c r="AI155" s="76">
        <v>0</v>
      </c>
      <c r="AJ155" s="76">
        <v>1</v>
      </c>
      <c r="AK155" s="76">
        <v>273</v>
      </c>
      <c r="AL155" s="76" t="b">
        <v>0</v>
      </c>
      <c r="AM155" s="78">
        <v>44616.820937500001</v>
      </c>
      <c r="AN155" s="76"/>
      <c r="AO155" s="76" t="s">
        <v>6808</v>
      </c>
      <c r="AP155" s="76"/>
      <c r="AQ155" s="76"/>
      <c r="AR155" s="76"/>
      <c r="AS155" s="76"/>
      <c r="AT155" s="76"/>
      <c r="AU155" s="76"/>
      <c r="AV155" s="76"/>
      <c r="AW155" s="76"/>
      <c r="AX155" s="76" t="b">
        <v>0</v>
      </c>
      <c r="AY155" s="76"/>
      <c r="AZ155" s="76"/>
      <c r="BA155" s="76" t="b">
        <v>0</v>
      </c>
      <c r="BB155" s="76" t="b">
        <v>1</v>
      </c>
      <c r="BC155" s="76" t="b">
        <v>1</v>
      </c>
      <c r="BD155" s="76" t="b">
        <v>0</v>
      </c>
      <c r="BE155" s="76" t="b">
        <v>0</v>
      </c>
      <c r="BF155" s="76" t="b">
        <v>0</v>
      </c>
      <c r="BG155" s="76" t="b">
        <v>0</v>
      </c>
      <c r="BH155" s="83" t="str">
        <f>HYPERLINK("https://pbs.twimg.com/profile_banners/1496933378272206853/1652116470")</f>
        <v>https://pbs.twimg.com/profile_banners/1496933378272206853/1652116470</v>
      </c>
      <c r="BI155" s="76"/>
      <c r="BJ155" s="76" t="s">
        <v>7245</v>
      </c>
      <c r="BK155" s="76" t="b">
        <v>0</v>
      </c>
      <c r="BL155" s="76"/>
      <c r="BM155" s="76" t="s">
        <v>66</v>
      </c>
      <c r="BN155" s="76" t="s">
        <v>7247</v>
      </c>
      <c r="BO155" s="83" t="str">
        <f>HYPERLINK("https://twitter.com/se_empreendedor")</f>
        <v>https://twitter.com/se_empreendedor</v>
      </c>
      <c r="BP155" s="2"/>
    </row>
    <row r="156" spans="1:68" x14ac:dyDescent="0.25">
      <c r="A156" s="62" t="s">
        <v>372</v>
      </c>
      <c r="B156" s="63"/>
      <c r="C156" s="63"/>
      <c r="D156" s="64"/>
      <c r="E156" s="66"/>
      <c r="F156" s="102" t="str">
        <f>HYPERLINK("https://pbs.twimg.com/profile_images/1667987816377208832/HNNO9ade_normal.jpg")</f>
        <v>https://pbs.twimg.com/profile_images/1667987816377208832/HNNO9ade_normal.jpg</v>
      </c>
      <c r="G156" s="63"/>
      <c r="H156" s="67"/>
      <c r="I156" s="68"/>
      <c r="J156" s="68"/>
      <c r="K156" s="67" t="s">
        <v>7400</v>
      </c>
      <c r="L156" s="71"/>
      <c r="M156" s="72"/>
      <c r="N156" s="72"/>
      <c r="O156" s="73"/>
      <c r="P156" s="74"/>
      <c r="Q156" s="74"/>
      <c r="R156" s="86"/>
      <c r="S156" s="86"/>
      <c r="T156" s="86"/>
      <c r="U156" s="86"/>
      <c r="V156" s="48"/>
      <c r="W156" s="48"/>
      <c r="X156" s="48"/>
      <c r="Y156" s="48"/>
      <c r="Z156" s="47"/>
      <c r="AA156" s="69">
        <v>156</v>
      </c>
      <c r="AB156" s="69"/>
      <c r="AC156" s="70"/>
      <c r="AD156" s="76" t="s">
        <v>6283</v>
      </c>
      <c r="AE156" s="81" t="s">
        <v>6509</v>
      </c>
      <c r="AF156" s="76">
        <v>1223</v>
      </c>
      <c r="AG156" s="76">
        <v>4226</v>
      </c>
      <c r="AH156" s="76">
        <v>1865</v>
      </c>
      <c r="AI156" s="76">
        <v>0</v>
      </c>
      <c r="AJ156" s="76">
        <v>2393</v>
      </c>
      <c r="AK156" s="76">
        <v>214</v>
      </c>
      <c r="AL156" s="76" t="b">
        <v>0</v>
      </c>
      <c r="AM156" s="78">
        <v>41999.709953703707</v>
      </c>
      <c r="AN156" s="76"/>
      <c r="AO156" s="76" t="s">
        <v>6809</v>
      </c>
      <c r="AP156" s="76"/>
      <c r="AQ156" s="76"/>
      <c r="AR156" s="76"/>
      <c r="AS156" s="76"/>
      <c r="AT156" s="76"/>
      <c r="AU156" s="76"/>
      <c r="AV156" s="76"/>
      <c r="AW156" s="76"/>
      <c r="AX156" s="76" t="b">
        <v>0</v>
      </c>
      <c r="AY156" s="76"/>
      <c r="AZ156" s="76"/>
      <c r="BA156" s="76" t="b">
        <v>0</v>
      </c>
      <c r="BB156" s="76" t="b">
        <v>1</v>
      </c>
      <c r="BC156" s="76" t="b">
        <v>1</v>
      </c>
      <c r="BD156" s="76" t="b">
        <v>0</v>
      </c>
      <c r="BE156" s="76" t="b">
        <v>1</v>
      </c>
      <c r="BF156" s="76" t="b">
        <v>0</v>
      </c>
      <c r="BG156" s="76" t="b">
        <v>0</v>
      </c>
      <c r="BH156" s="83" t="str">
        <f>HYPERLINK("https://pbs.twimg.com/profile_banners/2942382911/1686514317")</f>
        <v>https://pbs.twimg.com/profile_banners/2942382911/1686514317</v>
      </c>
      <c r="BI156" s="76"/>
      <c r="BJ156" s="76" t="s">
        <v>7245</v>
      </c>
      <c r="BK156" s="76" t="b">
        <v>0</v>
      </c>
      <c r="BL156" s="76"/>
      <c r="BM156" s="76" t="s">
        <v>66</v>
      </c>
      <c r="BN156" s="76" t="s">
        <v>7247</v>
      </c>
      <c r="BO156" s="83" t="str">
        <f>HYPERLINK("https://twitter.com/ailtonrocha21")</f>
        <v>https://twitter.com/ailtonrocha21</v>
      </c>
      <c r="BP156" s="2"/>
    </row>
    <row r="157" spans="1:68" x14ac:dyDescent="0.25">
      <c r="A157" s="62" t="s">
        <v>373</v>
      </c>
      <c r="B157" s="63"/>
      <c r="C157" s="63"/>
      <c r="D157" s="64"/>
      <c r="E157" s="66"/>
      <c r="F157" s="102" t="str">
        <f>HYPERLINK("https://pbs.twimg.com/profile_images/1660404770933186562/eCOY3ACn_normal.jpg")</f>
        <v>https://pbs.twimg.com/profile_images/1660404770933186562/eCOY3ACn_normal.jpg</v>
      </c>
      <c r="G157" s="63"/>
      <c r="H157" s="67"/>
      <c r="I157" s="68"/>
      <c r="J157" s="68"/>
      <c r="K157" s="67" t="s">
        <v>7401</v>
      </c>
      <c r="L157" s="71"/>
      <c r="M157" s="72"/>
      <c r="N157" s="72"/>
      <c r="O157" s="73"/>
      <c r="P157" s="74"/>
      <c r="Q157" s="74"/>
      <c r="R157" s="86"/>
      <c r="S157" s="86"/>
      <c r="T157" s="86"/>
      <c r="U157" s="86"/>
      <c r="V157" s="48"/>
      <c r="W157" s="48"/>
      <c r="X157" s="48"/>
      <c r="Y157" s="48"/>
      <c r="Z157" s="47"/>
      <c r="AA157" s="69">
        <v>157</v>
      </c>
      <c r="AB157" s="69"/>
      <c r="AC157" s="70"/>
      <c r="AD157" s="76" t="s">
        <v>6284</v>
      </c>
      <c r="AE157" s="81" t="s">
        <v>5962</v>
      </c>
      <c r="AF157" s="76">
        <v>102</v>
      </c>
      <c r="AG157" s="76">
        <v>314</v>
      </c>
      <c r="AH157" s="76">
        <v>734</v>
      </c>
      <c r="AI157" s="76">
        <v>0</v>
      </c>
      <c r="AJ157" s="76">
        <v>768</v>
      </c>
      <c r="AK157" s="76">
        <v>316</v>
      </c>
      <c r="AL157" s="76" t="b">
        <v>0</v>
      </c>
      <c r="AM157" s="78">
        <v>44413.016967592594</v>
      </c>
      <c r="AN157" s="76"/>
      <c r="AO157" s="76" t="s">
        <v>6810</v>
      </c>
      <c r="AP157" s="76"/>
      <c r="AQ157" s="76"/>
      <c r="AR157" s="76"/>
      <c r="AS157" s="76"/>
      <c r="AT157" s="76"/>
      <c r="AU157" s="76"/>
      <c r="AV157" s="76"/>
      <c r="AW157" s="76"/>
      <c r="AX157" s="76" t="b">
        <v>0</v>
      </c>
      <c r="AY157" s="76"/>
      <c r="AZ157" s="76"/>
      <c r="BA157" s="76" t="b">
        <v>0</v>
      </c>
      <c r="BB157" s="76" t="b">
        <v>1</v>
      </c>
      <c r="BC157" s="76" t="b">
        <v>1</v>
      </c>
      <c r="BD157" s="76" t="b">
        <v>0</v>
      </c>
      <c r="BE157" s="76" t="b">
        <v>0</v>
      </c>
      <c r="BF157" s="76" t="b">
        <v>0</v>
      </c>
      <c r="BG157" s="76" t="b">
        <v>0</v>
      </c>
      <c r="BH157" s="83" t="str">
        <f>HYPERLINK("https://pbs.twimg.com/profile_banners/1423077194780270596/1684706321")</f>
        <v>https://pbs.twimg.com/profile_banners/1423077194780270596/1684706321</v>
      </c>
      <c r="BI157" s="76"/>
      <c r="BJ157" s="76" t="s">
        <v>7245</v>
      </c>
      <c r="BK157" s="76" t="b">
        <v>0</v>
      </c>
      <c r="BL157" s="76"/>
      <c r="BM157" s="76" t="s">
        <v>66</v>
      </c>
      <c r="BN157" s="76" t="s">
        <v>7247</v>
      </c>
      <c r="BO157" s="83" t="str">
        <f>HYPERLINK("https://twitter.com/joanadarcdocar1")</f>
        <v>https://twitter.com/joanadarcdocar1</v>
      </c>
      <c r="BP157" s="2"/>
    </row>
    <row r="158" spans="1:68" x14ac:dyDescent="0.25">
      <c r="A158" s="62" t="s">
        <v>569</v>
      </c>
      <c r="B158" s="63"/>
      <c r="C158" s="63"/>
      <c r="D158" s="64"/>
      <c r="E158" s="66"/>
      <c r="F158" s="102" t="str">
        <f>HYPERLINK("https://pbs.twimg.com/profile_images/1208240543/snowtintin_normal.JPG")</f>
        <v>https://pbs.twimg.com/profile_images/1208240543/snowtintin_normal.JPG</v>
      </c>
      <c r="G158" s="63"/>
      <c r="H158" s="67"/>
      <c r="I158" s="68"/>
      <c r="J158" s="68"/>
      <c r="K158" s="67" t="s">
        <v>7402</v>
      </c>
      <c r="L158" s="71"/>
      <c r="M158" s="72"/>
      <c r="N158" s="72"/>
      <c r="O158" s="73"/>
      <c r="P158" s="74"/>
      <c r="Q158" s="74"/>
      <c r="R158" s="86"/>
      <c r="S158" s="86"/>
      <c r="T158" s="86"/>
      <c r="U158" s="86"/>
      <c r="V158" s="48"/>
      <c r="W158" s="48"/>
      <c r="X158" s="48"/>
      <c r="Y158" s="48"/>
      <c r="Z158" s="47"/>
      <c r="AA158" s="69">
        <v>158</v>
      </c>
      <c r="AB158" s="69"/>
      <c r="AC158" s="70"/>
      <c r="AD158" s="76" t="s">
        <v>6285</v>
      </c>
      <c r="AE158" s="81" t="s">
        <v>6510</v>
      </c>
      <c r="AF158" s="76">
        <v>317</v>
      </c>
      <c r="AG158" s="76">
        <v>47</v>
      </c>
      <c r="AH158" s="76">
        <v>320</v>
      </c>
      <c r="AI158" s="76">
        <v>7</v>
      </c>
      <c r="AJ158" s="76">
        <v>0</v>
      </c>
      <c r="AK158" s="76">
        <v>10</v>
      </c>
      <c r="AL158" s="76" t="b">
        <v>0</v>
      </c>
      <c r="AM158" s="78">
        <v>39181.165289351855</v>
      </c>
      <c r="AN158" s="76"/>
      <c r="AO158" s="76"/>
      <c r="AP158" s="76"/>
      <c r="AQ158" s="76"/>
      <c r="AR158" s="76"/>
      <c r="AS158" s="76"/>
      <c r="AT158" s="76"/>
      <c r="AU158" s="76"/>
      <c r="AV158" s="76"/>
      <c r="AW158" s="76"/>
      <c r="AX158" s="76" t="b">
        <v>0</v>
      </c>
      <c r="AY158" s="76"/>
      <c r="AZ158" s="76"/>
      <c r="BA158" s="76" t="b">
        <v>0</v>
      </c>
      <c r="BB158" s="76" t="b">
        <v>1</v>
      </c>
      <c r="BC158" s="76" t="b">
        <v>0</v>
      </c>
      <c r="BD158" s="76" t="b">
        <v>0</v>
      </c>
      <c r="BE158" s="76" t="b">
        <v>0</v>
      </c>
      <c r="BF158" s="76" t="b">
        <v>0</v>
      </c>
      <c r="BG158" s="76" t="b">
        <v>0</v>
      </c>
      <c r="BH158" s="76"/>
      <c r="BI158" s="76"/>
      <c r="BJ158" s="76" t="s">
        <v>7245</v>
      </c>
      <c r="BK158" s="76" t="b">
        <v>0</v>
      </c>
      <c r="BL158" s="76"/>
      <c r="BM158" s="76" t="s">
        <v>65</v>
      </c>
      <c r="BN158" s="76" t="s">
        <v>7247</v>
      </c>
      <c r="BO158" s="83" t="str">
        <f>HYPERLINK("https://twitter.com/cassius")</f>
        <v>https://twitter.com/cassius</v>
      </c>
      <c r="BP158" s="2"/>
    </row>
    <row r="159" spans="1:68" x14ac:dyDescent="0.25">
      <c r="A159" s="62" t="s">
        <v>374</v>
      </c>
      <c r="B159" s="63"/>
      <c r="C159" s="63"/>
      <c r="D159" s="64"/>
      <c r="E159" s="66"/>
      <c r="F159" s="102" t="str">
        <f>HYPERLINK("https://pbs.twimg.com/profile_images/1697546458830897153/Z6iRQvIZ_normal.jpg")</f>
        <v>https://pbs.twimg.com/profile_images/1697546458830897153/Z6iRQvIZ_normal.jpg</v>
      </c>
      <c r="G159" s="63"/>
      <c r="H159" s="67"/>
      <c r="I159" s="68"/>
      <c r="J159" s="68"/>
      <c r="K159" s="67" t="s">
        <v>7403</v>
      </c>
      <c r="L159" s="71"/>
      <c r="M159" s="72"/>
      <c r="N159" s="72"/>
      <c r="O159" s="73"/>
      <c r="P159" s="74"/>
      <c r="Q159" s="74"/>
      <c r="R159" s="86"/>
      <c r="S159" s="86"/>
      <c r="T159" s="86"/>
      <c r="U159" s="86"/>
      <c r="V159" s="48"/>
      <c r="W159" s="48"/>
      <c r="X159" s="48"/>
      <c r="Y159" s="48"/>
      <c r="Z159" s="47"/>
      <c r="AA159" s="69">
        <v>159</v>
      </c>
      <c r="AB159" s="69"/>
      <c r="AC159" s="70"/>
      <c r="AD159" s="76" t="s">
        <v>6286</v>
      </c>
      <c r="AE159" s="81" t="s">
        <v>5963</v>
      </c>
      <c r="AF159" s="76">
        <v>4</v>
      </c>
      <c r="AG159" s="76">
        <v>5</v>
      </c>
      <c r="AH159" s="76">
        <v>43</v>
      </c>
      <c r="AI159" s="76">
        <v>0</v>
      </c>
      <c r="AJ159" s="76">
        <v>0</v>
      </c>
      <c r="AK159" s="76">
        <v>43</v>
      </c>
      <c r="AL159" s="76" t="b">
        <v>0</v>
      </c>
      <c r="AM159" s="78">
        <v>44889.712696759256</v>
      </c>
      <c r="AN159" s="76" t="s">
        <v>6566</v>
      </c>
      <c r="AO159" s="76" t="s">
        <v>6811</v>
      </c>
      <c r="AP159" s="76"/>
      <c r="AQ159" s="76"/>
      <c r="AR159" s="76"/>
      <c r="AS159" s="76"/>
      <c r="AT159" s="76"/>
      <c r="AU159" s="76"/>
      <c r="AV159" s="76"/>
      <c r="AW159" s="76"/>
      <c r="AX159" s="76" t="b">
        <v>0</v>
      </c>
      <c r="AY159" s="76"/>
      <c r="AZ159" s="76"/>
      <c r="BA159" s="76" t="b">
        <v>0</v>
      </c>
      <c r="BB159" s="76" t="b">
        <v>1</v>
      </c>
      <c r="BC159" s="76" t="b">
        <v>1</v>
      </c>
      <c r="BD159" s="76" t="b">
        <v>0</v>
      </c>
      <c r="BE159" s="76" t="b">
        <v>0</v>
      </c>
      <c r="BF159" s="76" t="b">
        <v>0</v>
      </c>
      <c r="BG159" s="76" t="b">
        <v>0</v>
      </c>
      <c r="BH159" s="83" t="str">
        <f>HYPERLINK("https://pbs.twimg.com/profile_banners/1595826117025439747/1691072580")</f>
        <v>https://pbs.twimg.com/profile_banners/1595826117025439747/1691072580</v>
      </c>
      <c r="BI159" s="76"/>
      <c r="BJ159" s="76" t="s">
        <v>7245</v>
      </c>
      <c r="BK159" s="76" t="b">
        <v>0</v>
      </c>
      <c r="BL159" s="76"/>
      <c r="BM159" s="76" t="s">
        <v>66</v>
      </c>
      <c r="BN159" s="76" t="s">
        <v>7247</v>
      </c>
      <c r="BO159" s="83" t="str">
        <f>HYPERLINK("https://twitter.com/tradedorkpt")</f>
        <v>https://twitter.com/tradedorkpt</v>
      </c>
      <c r="BP159" s="2"/>
    </row>
    <row r="160" spans="1:68" x14ac:dyDescent="0.25">
      <c r="A160" s="62" t="s">
        <v>375</v>
      </c>
      <c r="B160" s="63"/>
      <c r="C160" s="63"/>
      <c r="D160" s="64"/>
      <c r="E160" s="66"/>
      <c r="F160" s="102" t="str">
        <f>HYPERLINK("https://pbs.twimg.com/profile_images/1642720997487910916/xpovN4Fc_normal.jpg")</f>
        <v>https://pbs.twimg.com/profile_images/1642720997487910916/xpovN4Fc_normal.jpg</v>
      </c>
      <c r="G160" s="63"/>
      <c r="H160" s="67"/>
      <c r="I160" s="68"/>
      <c r="J160" s="68"/>
      <c r="K160" s="67" t="s">
        <v>7404</v>
      </c>
      <c r="L160" s="71"/>
      <c r="M160" s="72"/>
      <c r="N160" s="72"/>
      <c r="O160" s="73"/>
      <c r="P160" s="74"/>
      <c r="Q160" s="74"/>
      <c r="R160" s="86"/>
      <c r="S160" s="86"/>
      <c r="T160" s="86"/>
      <c r="U160" s="86"/>
      <c r="V160" s="48"/>
      <c r="W160" s="48"/>
      <c r="X160" s="48"/>
      <c r="Y160" s="48"/>
      <c r="Z160" s="47"/>
      <c r="AA160" s="69">
        <v>160</v>
      </c>
      <c r="AB160" s="69"/>
      <c r="AC160" s="70"/>
      <c r="AD160" s="76" t="s">
        <v>6287</v>
      </c>
      <c r="AE160" s="81" t="s">
        <v>6511</v>
      </c>
      <c r="AF160" s="76">
        <v>13</v>
      </c>
      <c r="AG160" s="76">
        <v>4</v>
      </c>
      <c r="AH160" s="76">
        <v>177</v>
      </c>
      <c r="AI160" s="76">
        <v>0</v>
      </c>
      <c r="AJ160" s="76">
        <v>13</v>
      </c>
      <c r="AK160" s="76">
        <v>175</v>
      </c>
      <c r="AL160" s="76" t="b">
        <v>0</v>
      </c>
      <c r="AM160" s="78">
        <v>40448.663553240738</v>
      </c>
      <c r="AN160" s="76"/>
      <c r="AO160" s="76" t="s">
        <v>6812</v>
      </c>
      <c r="AP160" s="83" t="str">
        <f>HYPERLINK("https://t.co/Gg0zce53qo")</f>
        <v>https://t.co/Gg0zce53qo</v>
      </c>
      <c r="AQ160" s="83" t="str">
        <f>HYPERLINK("http://Instagram.com/7t_alex")</f>
        <v>http://Instagram.com/7t_alex</v>
      </c>
      <c r="AR160" s="76" t="s">
        <v>7085</v>
      </c>
      <c r="AS160" s="76"/>
      <c r="AT160" s="76"/>
      <c r="AU160" s="76"/>
      <c r="AV160" s="76"/>
      <c r="AW160" s="83" t="str">
        <f>HYPERLINK("https://t.co/Gg0zce53qo")</f>
        <v>https://t.co/Gg0zce53qo</v>
      </c>
      <c r="AX160" s="76" t="b">
        <v>0</v>
      </c>
      <c r="AY160" s="76"/>
      <c r="AZ160" s="76"/>
      <c r="BA160" s="76" t="b">
        <v>0</v>
      </c>
      <c r="BB160" s="76" t="b">
        <v>1</v>
      </c>
      <c r="BC160" s="76" t="b">
        <v>0</v>
      </c>
      <c r="BD160" s="76" t="b">
        <v>0</v>
      </c>
      <c r="BE160" s="76" t="b">
        <v>1</v>
      </c>
      <c r="BF160" s="76" t="b">
        <v>0</v>
      </c>
      <c r="BG160" s="76" t="b">
        <v>0</v>
      </c>
      <c r="BH160" s="83" t="str">
        <f>HYPERLINK("https://pbs.twimg.com/profile_banners/195792807/1680490151")</f>
        <v>https://pbs.twimg.com/profile_banners/195792807/1680490151</v>
      </c>
      <c r="BI160" s="76"/>
      <c r="BJ160" s="76" t="s">
        <v>7245</v>
      </c>
      <c r="BK160" s="76" t="b">
        <v>0</v>
      </c>
      <c r="BL160" s="76"/>
      <c r="BM160" s="76" t="s">
        <v>66</v>
      </c>
      <c r="BN160" s="76" t="s">
        <v>7247</v>
      </c>
      <c r="BO160" s="83" t="str">
        <f>HYPERLINK("https://twitter.com/7t_alex")</f>
        <v>https://twitter.com/7t_alex</v>
      </c>
      <c r="BP160" s="2"/>
    </row>
    <row r="161" spans="1:68" x14ac:dyDescent="0.25">
      <c r="A161" s="62" t="s">
        <v>376</v>
      </c>
      <c r="B161" s="63"/>
      <c r="C161" s="63"/>
      <c r="D161" s="64"/>
      <c r="E161" s="66"/>
      <c r="F161" s="102" t="str">
        <f>HYPERLINK("https://pbs.twimg.com/profile_images/1639344097834983435/vC5Fb0qP_normal.jpg")</f>
        <v>https://pbs.twimg.com/profile_images/1639344097834983435/vC5Fb0qP_normal.jpg</v>
      </c>
      <c r="G161" s="63"/>
      <c r="H161" s="67"/>
      <c r="I161" s="68"/>
      <c r="J161" s="68"/>
      <c r="K161" s="67" t="s">
        <v>7405</v>
      </c>
      <c r="L161" s="71"/>
      <c r="M161" s="72"/>
      <c r="N161" s="72"/>
      <c r="O161" s="73"/>
      <c r="P161" s="74"/>
      <c r="Q161" s="74"/>
      <c r="R161" s="86"/>
      <c r="S161" s="86"/>
      <c r="T161" s="86"/>
      <c r="U161" s="86"/>
      <c r="V161" s="48"/>
      <c r="W161" s="48"/>
      <c r="X161" s="48"/>
      <c r="Y161" s="48"/>
      <c r="Z161" s="47"/>
      <c r="AA161" s="69">
        <v>161</v>
      </c>
      <c r="AB161" s="69"/>
      <c r="AC161" s="70"/>
      <c r="AD161" s="76" t="s">
        <v>6288</v>
      </c>
      <c r="AE161" s="81" t="s">
        <v>5964</v>
      </c>
      <c r="AF161" s="76">
        <v>7</v>
      </c>
      <c r="AG161" s="76">
        <v>0</v>
      </c>
      <c r="AH161" s="76">
        <v>19</v>
      </c>
      <c r="AI161" s="76">
        <v>0</v>
      </c>
      <c r="AJ161" s="76">
        <v>18</v>
      </c>
      <c r="AK161" s="76">
        <v>0</v>
      </c>
      <c r="AL161" s="76" t="b">
        <v>0</v>
      </c>
      <c r="AM161" s="78">
        <v>45008.894965277781</v>
      </c>
      <c r="AN161" s="76"/>
      <c r="AO161" s="76" t="s">
        <v>6813</v>
      </c>
      <c r="AP161" s="76"/>
      <c r="AQ161" s="76"/>
      <c r="AR161" s="76"/>
      <c r="AS161" s="76"/>
      <c r="AT161" s="76"/>
      <c r="AU161" s="76"/>
      <c r="AV161" s="76">
        <v>1.66647911745634E+18</v>
      </c>
      <c r="AW161" s="76"/>
      <c r="AX161" s="76" t="b">
        <v>0</v>
      </c>
      <c r="AY161" s="76"/>
      <c r="AZ161" s="76"/>
      <c r="BA161" s="76" t="b">
        <v>0</v>
      </c>
      <c r="BB161" s="76" t="b">
        <v>1</v>
      </c>
      <c r="BC161" s="76" t="b">
        <v>1</v>
      </c>
      <c r="BD161" s="76" t="b">
        <v>0</v>
      </c>
      <c r="BE161" s="76" t="b">
        <v>0</v>
      </c>
      <c r="BF161" s="76" t="b">
        <v>0</v>
      </c>
      <c r="BG161" s="76" t="b">
        <v>0</v>
      </c>
      <c r="BH161" s="83" t="str">
        <f>HYPERLINK("https://pbs.twimg.com/profile_banners/1639016251438645248/1681870618")</f>
        <v>https://pbs.twimg.com/profile_banners/1639016251438645248/1681870618</v>
      </c>
      <c r="BI161" s="76"/>
      <c r="BJ161" s="76" t="s">
        <v>7245</v>
      </c>
      <c r="BK161" s="76" t="b">
        <v>0</v>
      </c>
      <c r="BL161" s="76"/>
      <c r="BM161" s="76" t="s">
        <v>66</v>
      </c>
      <c r="BN161" s="76" t="s">
        <v>7247</v>
      </c>
      <c r="BO161" s="83" t="str">
        <f>HYPERLINK("https://twitter.com/xzibank")</f>
        <v>https://twitter.com/xzibank</v>
      </c>
      <c r="BP161" s="2"/>
    </row>
    <row r="162" spans="1:68" x14ac:dyDescent="0.25">
      <c r="A162" s="62" t="s">
        <v>377</v>
      </c>
      <c r="B162" s="63"/>
      <c r="C162" s="63"/>
      <c r="D162" s="64"/>
      <c r="E162" s="66"/>
      <c r="F162" s="102" t="str">
        <f>HYPERLINK("https://pbs.twimg.com/profile_images/1638104589604995073/r7qdG73d_normal.jpg")</f>
        <v>https://pbs.twimg.com/profile_images/1638104589604995073/r7qdG73d_normal.jpg</v>
      </c>
      <c r="G162" s="63"/>
      <c r="H162" s="67"/>
      <c r="I162" s="68"/>
      <c r="J162" s="68"/>
      <c r="K162" s="67" t="s">
        <v>7406</v>
      </c>
      <c r="L162" s="71"/>
      <c r="M162" s="72"/>
      <c r="N162" s="72"/>
      <c r="O162" s="73"/>
      <c r="P162" s="74"/>
      <c r="Q162" s="74"/>
      <c r="R162" s="86"/>
      <c r="S162" s="86"/>
      <c r="T162" s="86"/>
      <c r="U162" s="86"/>
      <c r="V162" s="48"/>
      <c r="W162" s="48"/>
      <c r="X162" s="48"/>
      <c r="Y162" s="48"/>
      <c r="Z162" s="47"/>
      <c r="AA162" s="69">
        <v>162</v>
      </c>
      <c r="AB162" s="69"/>
      <c r="AC162" s="70"/>
      <c r="AD162" s="76" t="s">
        <v>6289</v>
      </c>
      <c r="AE162" s="81" t="s">
        <v>5965</v>
      </c>
      <c r="AF162" s="76">
        <v>103</v>
      </c>
      <c r="AG162" s="76">
        <v>869</v>
      </c>
      <c r="AH162" s="76">
        <v>513</v>
      </c>
      <c r="AI162" s="76">
        <v>1</v>
      </c>
      <c r="AJ162" s="76">
        <v>55</v>
      </c>
      <c r="AK162" s="76">
        <v>134</v>
      </c>
      <c r="AL162" s="76" t="b">
        <v>0</v>
      </c>
      <c r="AM162" s="78">
        <v>44596.43005787037</v>
      </c>
      <c r="AN162" s="76"/>
      <c r="AO162" s="76" t="s">
        <v>6814</v>
      </c>
      <c r="AP162" s="83" t="str">
        <f>HYPERLINK("https://t.co/xv7bUsMlLM")</f>
        <v>https://t.co/xv7bUsMlLM</v>
      </c>
      <c r="AQ162" s="83" t="str">
        <f>HYPERLINK("http://bit.ly/3SEidTO")</f>
        <v>http://bit.ly/3SEidTO</v>
      </c>
      <c r="AR162" s="76" t="s">
        <v>7086</v>
      </c>
      <c r="AS162" s="76"/>
      <c r="AT162" s="76"/>
      <c r="AU162" s="76"/>
      <c r="AV162" s="76">
        <v>1.69730890890003E+18</v>
      </c>
      <c r="AW162" s="83" t="str">
        <f>HYPERLINK("https://t.co/xv7bUsMlLM")</f>
        <v>https://t.co/xv7bUsMlLM</v>
      </c>
      <c r="AX162" s="76" t="b">
        <v>0</v>
      </c>
      <c r="AY162" s="76"/>
      <c r="AZ162" s="76"/>
      <c r="BA162" s="76" t="b">
        <v>0</v>
      </c>
      <c r="BB162" s="76" t="b">
        <v>1</v>
      </c>
      <c r="BC162" s="76" t="b">
        <v>1</v>
      </c>
      <c r="BD162" s="76" t="b">
        <v>0</v>
      </c>
      <c r="BE162" s="76" t="b">
        <v>0</v>
      </c>
      <c r="BF162" s="76" t="b">
        <v>0</v>
      </c>
      <c r="BG162" s="76" t="b">
        <v>0</v>
      </c>
      <c r="BH162" s="83" t="str">
        <f>HYPERLINK("https://pbs.twimg.com/profile_banners/1489544001032273925/1679389544")</f>
        <v>https://pbs.twimg.com/profile_banners/1489544001032273925/1679389544</v>
      </c>
      <c r="BI162" s="76"/>
      <c r="BJ162" s="76" t="s">
        <v>7245</v>
      </c>
      <c r="BK162" s="76" t="b">
        <v>0</v>
      </c>
      <c r="BL162" s="76"/>
      <c r="BM162" s="76" t="s">
        <v>66</v>
      </c>
      <c r="BN162" s="76" t="s">
        <v>7247</v>
      </c>
      <c r="BO162" s="83" t="str">
        <f>HYPERLINK("https://twitter.com/exnova_pt")</f>
        <v>https://twitter.com/exnova_pt</v>
      </c>
      <c r="BP162" s="2"/>
    </row>
    <row r="163" spans="1:68" x14ac:dyDescent="0.25">
      <c r="A163" s="62" t="s">
        <v>378</v>
      </c>
      <c r="B163" s="63"/>
      <c r="C163" s="63"/>
      <c r="D163" s="64"/>
      <c r="E163" s="66"/>
      <c r="F163" s="102" t="str">
        <f>HYPERLINK("https://pbs.twimg.com/profile_images/1308943085095858176/wvBNHWQM_normal.jpg")</f>
        <v>https://pbs.twimg.com/profile_images/1308943085095858176/wvBNHWQM_normal.jpg</v>
      </c>
      <c r="G163" s="63"/>
      <c r="H163" s="67"/>
      <c r="I163" s="68"/>
      <c r="J163" s="68"/>
      <c r="K163" s="67" t="s">
        <v>7407</v>
      </c>
      <c r="L163" s="71"/>
      <c r="M163" s="72"/>
      <c r="N163" s="72"/>
      <c r="O163" s="73"/>
      <c r="P163" s="74"/>
      <c r="Q163" s="74"/>
      <c r="R163" s="86"/>
      <c r="S163" s="86"/>
      <c r="T163" s="86"/>
      <c r="U163" s="86"/>
      <c r="V163" s="48"/>
      <c r="W163" s="48"/>
      <c r="X163" s="48"/>
      <c r="Y163" s="48"/>
      <c r="Z163" s="47"/>
      <c r="AA163" s="69">
        <v>163</v>
      </c>
      <c r="AB163" s="69"/>
      <c r="AC163" s="70"/>
      <c r="AD163" s="76" t="s">
        <v>6290</v>
      </c>
      <c r="AE163" s="81" t="s">
        <v>5591</v>
      </c>
      <c r="AF163" s="76">
        <v>778</v>
      </c>
      <c r="AG163" s="76">
        <v>6</v>
      </c>
      <c r="AH163" s="76">
        <v>10927</v>
      </c>
      <c r="AI163" s="76">
        <v>3</v>
      </c>
      <c r="AJ163" s="76">
        <v>147</v>
      </c>
      <c r="AK163" s="76">
        <v>1073</v>
      </c>
      <c r="AL163" s="76" t="b">
        <v>0</v>
      </c>
      <c r="AM163" s="78">
        <v>41138.264120370368</v>
      </c>
      <c r="AN163" s="76" t="s">
        <v>6617</v>
      </c>
      <c r="AO163" s="76" t="s">
        <v>6815</v>
      </c>
      <c r="AP163" s="83" t="str">
        <f>HYPERLINK("https://t.co/IfyGPZ1pDp")</f>
        <v>https://t.co/IfyGPZ1pDp</v>
      </c>
      <c r="AQ163" s="83" t="str">
        <f>HYPERLINK("https://linktr.ee/moisesliins")</f>
        <v>https://linktr.ee/moisesliins</v>
      </c>
      <c r="AR163" s="76" t="s">
        <v>7087</v>
      </c>
      <c r="AS163" s="76"/>
      <c r="AT163" s="76"/>
      <c r="AU163" s="76"/>
      <c r="AV163" s="76"/>
      <c r="AW163" s="83" t="str">
        <f>HYPERLINK("https://t.co/IfyGPZ1pDp")</f>
        <v>https://t.co/IfyGPZ1pDp</v>
      </c>
      <c r="AX163" s="76" t="b">
        <v>0</v>
      </c>
      <c r="AY163" s="76"/>
      <c r="AZ163" s="76"/>
      <c r="BA163" s="76" t="b">
        <v>0</v>
      </c>
      <c r="BB163" s="76" t="b">
        <v>1</v>
      </c>
      <c r="BC163" s="76" t="b">
        <v>0</v>
      </c>
      <c r="BD163" s="76" t="b">
        <v>0</v>
      </c>
      <c r="BE163" s="76" t="b">
        <v>0</v>
      </c>
      <c r="BF163" s="76" t="b">
        <v>0</v>
      </c>
      <c r="BG163" s="76" t="b">
        <v>0</v>
      </c>
      <c r="BH163" s="76"/>
      <c r="BI163" s="76"/>
      <c r="BJ163" s="76" t="s">
        <v>7246</v>
      </c>
      <c r="BK163" s="76" t="b">
        <v>0</v>
      </c>
      <c r="BL163" s="76"/>
      <c r="BM163" s="76" t="s">
        <v>66</v>
      </c>
      <c r="BN163" s="76" t="s">
        <v>7247</v>
      </c>
      <c r="BO163" s="83" t="str">
        <f>HYPERLINK("https://twitter.com/moisesliins")</f>
        <v>https://twitter.com/moisesliins</v>
      </c>
      <c r="BP163" s="2"/>
    </row>
    <row r="164" spans="1:68" x14ac:dyDescent="0.25">
      <c r="A164" s="62" t="s">
        <v>379</v>
      </c>
      <c r="B164" s="63"/>
      <c r="C164" s="63"/>
      <c r="D164" s="64"/>
      <c r="E164" s="66"/>
      <c r="F164" s="102" t="str">
        <f>HYPERLINK("https://pbs.twimg.com/profile_images/1126558090571276288/qnfdKR_c_normal.jpg")</f>
        <v>https://pbs.twimg.com/profile_images/1126558090571276288/qnfdKR_c_normal.jpg</v>
      </c>
      <c r="G164" s="63"/>
      <c r="H164" s="67"/>
      <c r="I164" s="68"/>
      <c r="J164" s="68"/>
      <c r="K164" s="67" t="s">
        <v>7408</v>
      </c>
      <c r="L164" s="71"/>
      <c r="M164" s="72"/>
      <c r="N164" s="72"/>
      <c r="O164" s="73"/>
      <c r="P164" s="74"/>
      <c r="Q164" s="74"/>
      <c r="R164" s="86"/>
      <c r="S164" s="86"/>
      <c r="T164" s="86"/>
      <c r="U164" s="86"/>
      <c r="V164" s="48"/>
      <c r="W164" s="48"/>
      <c r="X164" s="48"/>
      <c r="Y164" s="48"/>
      <c r="Z164" s="47"/>
      <c r="AA164" s="69">
        <v>164</v>
      </c>
      <c r="AB164" s="69"/>
      <c r="AC164" s="70"/>
      <c r="AD164" s="76" t="s">
        <v>6291</v>
      </c>
      <c r="AE164" s="81" t="s">
        <v>5966</v>
      </c>
      <c r="AF164" s="76">
        <v>1868</v>
      </c>
      <c r="AG164" s="76">
        <v>28</v>
      </c>
      <c r="AH164" s="76">
        <v>916</v>
      </c>
      <c r="AI164" s="76">
        <v>2</v>
      </c>
      <c r="AJ164" s="76">
        <v>30</v>
      </c>
      <c r="AK164" s="76">
        <v>245</v>
      </c>
      <c r="AL164" s="76" t="b">
        <v>0</v>
      </c>
      <c r="AM164" s="78">
        <v>43579.943078703705</v>
      </c>
      <c r="AN164" s="76"/>
      <c r="AO164" s="76" t="s">
        <v>6816</v>
      </c>
      <c r="AP164" s="83" t="str">
        <f>HYPERLINK("https://t.co/xVJbDvUnMS")</f>
        <v>https://t.co/xVJbDvUnMS</v>
      </c>
      <c r="AQ164" s="83" t="str">
        <f>HYPERLINK("http://www.trilhacerta.com")</f>
        <v>http://www.trilhacerta.com</v>
      </c>
      <c r="AR164" s="76" t="s">
        <v>2158</v>
      </c>
      <c r="AS164" s="76"/>
      <c r="AT164" s="76"/>
      <c r="AU164" s="76"/>
      <c r="AV164" s="76"/>
      <c r="AW164" s="83" t="str">
        <f>HYPERLINK("https://t.co/xVJbDvUnMS")</f>
        <v>https://t.co/xVJbDvUnMS</v>
      </c>
      <c r="AX164" s="76" t="b">
        <v>0</v>
      </c>
      <c r="AY164" s="76"/>
      <c r="AZ164" s="76"/>
      <c r="BA164" s="76" t="b">
        <v>0</v>
      </c>
      <c r="BB164" s="76" t="b">
        <v>1</v>
      </c>
      <c r="BC164" s="76" t="b">
        <v>1</v>
      </c>
      <c r="BD164" s="76" t="b">
        <v>0</v>
      </c>
      <c r="BE164" s="76" t="b">
        <v>1</v>
      </c>
      <c r="BF164" s="76" t="b">
        <v>0</v>
      </c>
      <c r="BG164" s="76" t="b">
        <v>0</v>
      </c>
      <c r="BH164" s="83" t="str">
        <f>HYPERLINK("https://pbs.twimg.com/profile_banners/1121181531593113601/1557427355")</f>
        <v>https://pbs.twimg.com/profile_banners/1121181531593113601/1557427355</v>
      </c>
      <c r="BI164" s="76"/>
      <c r="BJ164" s="76" t="s">
        <v>7245</v>
      </c>
      <c r="BK164" s="76" t="b">
        <v>0</v>
      </c>
      <c r="BL164" s="76"/>
      <c r="BM164" s="76" t="s">
        <v>66</v>
      </c>
      <c r="BN164" s="76" t="s">
        <v>7247</v>
      </c>
      <c r="BO164" s="83" t="str">
        <f>HYPERLINK("https://twitter.com/santoscancio")</f>
        <v>https://twitter.com/santoscancio</v>
      </c>
      <c r="BP164" s="2"/>
    </row>
    <row r="165" spans="1:68" x14ac:dyDescent="0.25">
      <c r="A165" s="62" t="s">
        <v>380</v>
      </c>
      <c r="B165" s="63"/>
      <c r="C165" s="63"/>
      <c r="D165" s="64"/>
      <c r="E165" s="66"/>
      <c r="F165" s="102" t="str">
        <f>HYPERLINK("https://pbs.twimg.com/profile_images/1614399349483511811/kc5sM0XB_normal.jpg")</f>
        <v>https://pbs.twimg.com/profile_images/1614399349483511811/kc5sM0XB_normal.jpg</v>
      </c>
      <c r="G165" s="63"/>
      <c r="H165" s="67"/>
      <c r="I165" s="68"/>
      <c r="J165" s="68"/>
      <c r="K165" s="67" t="s">
        <v>7409</v>
      </c>
      <c r="L165" s="71"/>
      <c r="M165" s="72"/>
      <c r="N165" s="72"/>
      <c r="O165" s="73"/>
      <c r="P165" s="74"/>
      <c r="Q165" s="74"/>
      <c r="R165" s="86"/>
      <c r="S165" s="86"/>
      <c r="T165" s="86"/>
      <c r="U165" s="86"/>
      <c r="V165" s="48"/>
      <c r="W165" s="48"/>
      <c r="X165" s="48"/>
      <c r="Y165" s="48"/>
      <c r="Z165" s="47"/>
      <c r="AA165" s="69">
        <v>165</v>
      </c>
      <c r="AB165" s="69"/>
      <c r="AC165" s="70"/>
      <c r="AD165" s="76" t="s">
        <v>6292</v>
      </c>
      <c r="AE165" s="81" t="s">
        <v>5967</v>
      </c>
      <c r="AF165" s="76">
        <v>0</v>
      </c>
      <c r="AG165" s="76">
        <v>10</v>
      </c>
      <c r="AH165" s="76">
        <v>2</v>
      </c>
      <c r="AI165" s="76">
        <v>0</v>
      </c>
      <c r="AJ165" s="76">
        <v>1</v>
      </c>
      <c r="AK165" s="76">
        <v>2</v>
      </c>
      <c r="AL165" s="76" t="b">
        <v>0</v>
      </c>
      <c r="AM165" s="78">
        <v>44940.964571759258</v>
      </c>
      <c r="AN165" s="76" t="s">
        <v>3752</v>
      </c>
      <c r="AO165" s="76" t="s">
        <v>6817</v>
      </c>
      <c r="AP165" s="83" t="str">
        <f>HYPERLINK("https://t.co/GtzbL1MLZ4")</f>
        <v>https://t.co/GtzbL1MLZ4</v>
      </c>
      <c r="AQ165" s="83" t="str">
        <f>HYPERLINK("http://bit.ly/3llnkzs1vendaem24h")</f>
        <v>http://bit.ly/3llnkzs1vendaem24h</v>
      </c>
      <c r="AR165" s="76" t="s">
        <v>7088</v>
      </c>
      <c r="AS165" s="76"/>
      <c r="AT165" s="76"/>
      <c r="AU165" s="76"/>
      <c r="AV165" s="76"/>
      <c r="AW165" s="83" t="str">
        <f>HYPERLINK("https://t.co/GtzbL1MLZ4")</f>
        <v>https://t.co/GtzbL1MLZ4</v>
      </c>
      <c r="AX165" s="76" t="b">
        <v>0</v>
      </c>
      <c r="AY165" s="76"/>
      <c r="AZ165" s="76"/>
      <c r="BA165" s="76" t="b">
        <v>0</v>
      </c>
      <c r="BB165" s="76" t="b">
        <v>1</v>
      </c>
      <c r="BC165" s="76" t="b">
        <v>1</v>
      </c>
      <c r="BD165" s="76" t="b">
        <v>0</v>
      </c>
      <c r="BE165" s="76" t="b">
        <v>0</v>
      </c>
      <c r="BF165" s="76" t="b">
        <v>0</v>
      </c>
      <c r="BG165" s="76" t="b">
        <v>0</v>
      </c>
      <c r="BH165" s="83" t="str">
        <f>HYPERLINK("https://pbs.twimg.com/profile_banners/1614399091961729032/1673739938")</f>
        <v>https://pbs.twimg.com/profile_banners/1614399091961729032/1673739938</v>
      </c>
      <c r="BI165" s="76"/>
      <c r="BJ165" s="76" t="s">
        <v>7245</v>
      </c>
      <c r="BK165" s="76" t="b">
        <v>0</v>
      </c>
      <c r="BL165" s="76"/>
      <c r="BM165" s="76" t="s">
        <v>66</v>
      </c>
      <c r="BN165" s="76" t="s">
        <v>7247</v>
      </c>
      <c r="BO165" s="83" t="str">
        <f>HYPERLINK("https://twitter.com/tainanzin___")</f>
        <v>https://twitter.com/tainanzin___</v>
      </c>
      <c r="BP165" s="2"/>
    </row>
    <row r="166" spans="1:68" x14ac:dyDescent="0.25">
      <c r="A166" s="62" t="s">
        <v>381</v>
      </c>
      <c r="B166" s="63"/>
      <c r="C166" s="63"/>
      <c r="D166" s="64"/>
      <c r="E166" s="66"/>
      <c r="F166" s="102" t="str">
        <f>HYPERLINK("https://pbs.twimg.com/profile_images/1655298064435888130/x8Ouao6N_normal.jpg")</f>
        <v>https://pbs.twimg.com/profile_images/1655298064435888130/x8Ouao6N_normal.jpg</v>
      </c>
      <c r="G166" s="63"/>
      <c r="H166" s="67"/>
      <c r="I166" s="68"/>
      <c r="J166" s="68"/>
      <c r="K166" s="67" t="s">
        <v>7410</v>
      </c>
      <c r="L166" s="71"/>
      <c r="M166" s="72"/>
      <c r="N166" s="72"/>
      <c r="O166" s="73"/>
      <c r="P166" s="74"/>
      <c r="Q166" s="74"/>
      <c r="R166" s="86"/>
      <c r="S166" s="86"/>
      <c r="T166" s="86"/>
      <c r="U166" s="86"/>
      <c r="V166" s="48"/>
      <c r="W166" s="48"/>
      <c r="X166" s="48"/>
      <c r="Y166" s="48"/>
      <c r="Z166" s="47"/>
      <c r="AA166" s="69">
        <v>166</v>
      </c>
      <c r="AB166" s="69"/>
      <c r="AC166" s="70"/>
      <c r="AD166" s="76" t="s">
        <v>6293</v>
      </c>
      <c r="AE166" s="81" t="s">
        <v>5968</v>
      </c>
      <c r="AF166" s="76">
        <v>10</v>
      </c>
      <c r="AG166" s="76">
        <v>32</v>
      </c>
      <c r="AH166" s="76">
        <v>16</v>
      </c>
      <c r="AI166" s="76">
        <v>1</v>
      </c>
      <c r="AJ166" s="76">
        <v>79</v>
      </c>
      <c r="AK166" s="76">
        <v>2</v>
      </c>
      <c r="AL166" s="76" t="b">
        <v>0</v>
      </c>
      <c r="AM166" s="78">
        <v>45053.823645833334</v>
      </c>
      <c r="AN166" s="76"/>
      <c r="AO166" s="76"/>
      <c r="AP166" s="76"/>
      <c r="AQ166" s="76"/>
      <c r="AR166" s="76"/>
      <c r="AS166" s="76"/>
      <c r="AT166" s="76"/>
      <c r="AU166" s="76"/>
      <c r="AV166" s="76"/>
      <c r="AW166" s="76"/>
      <c r="AX166" s="76" t="b">
        <v>0</v>
      </c>
      <c r="AY166" s="76"/>
      <c r="AZ166" s="76"/>
      <c r="BA166" s="76" t="b">
        <v>0</v>
      </c>
      <c r="BB166" s="76" t="b">
        <v>1</v>
      </c>
      <c r="BC166" s="76" t="b">
        <v>1</v>
      </c>
      <c r="BD166" s="76" t="b">
        <v>0</v>
      </c>
      <c r="BE166" s="76" t="b">
        <v>0</v>
      </c>
      <c r="BF166" s="76" t="b">
        <v>0</v>
      </c>
      <c r="BG166" s="76" t="b">
        <v>0</v>
      </c>
      <c r="BH166" s="83" t="str">
        <f>HYPERLINK("https://pbs.twimg.com/profile_banners/1655297896474984448/1685280997")</f>
        <v>https://pbs.twimg.com/profile_banners/1655297896474984448/1685280997</v>
      </c>
      <c r="BI166" s="76"/>
      <c r="BJ166" s="76" t="s">
        <v>7245</v>
      </c>
      <c r="BK166" s="76" t="b">
        <v>0</v>
      </c>
      <c r="BL166" s="76"/>
      <c r="BM166" s="76" t="s">
        <v>66</v>
      </c>
      <c r="BN166" s="76" t="s">
        <v>7247</v>
      </c>
      <c r="BO166" s="83" t="str">
        <f>HYPERLINK("https://twitter.com/criptobtc_")</f>
        <v>https://twitter.com/criptobtc_</v>
      </c>
      <c r="BP166" s="2"/>
    </row>
    <row r="167" spans="1:68" x14ac:dyDescent="0.25">
      <c r="A167" s="62" t="s">
        <v>382</v>
      </c>
      <c r="B167" s="63"/>
      <c r="C167" s="63"/>
      <c r="D167" s="64"/>
      <c r="E167" s="66"/>
      <c r="F167" s="102" t="str">
        <f>HYPERLINK("https://pbs.twimg.com/profile_images/1691059521437757440/KdSqsQh3_normal.png")</f>
        <v>https://pbs.twimg.com/profile_images/1691059521437757440/KdSqsQh3_normal.png</v>
      </c>
      <c r="G167" s="63"/>
      <c r="H167" s="67"/>
      <c r="I167" s="68"/>
      <c r="J167" s="68"/>
      <c r="K167" s="67" t="s">
        <v>7411</v>
      </c>
      <c r="L167" s="71"/>
      <c r="M167" s="72"/>
      <c r="N167" s="72"/>
      <c r="O167" s="73"/>
      <c r="P167" s="74"/>
      <c r="Q167" s="74"/>
      <c r="R167" s="86"/>
      <c r="S167" s="86"/>
      <c r="T167" s="86"/>
      <c r="U167" s="86"/>
      <c r="V167" s="48"/>
      <c r="W167" s="48"/>
      <c r="X167" s="48"/>
      <c r="Y167" s="48"/>
      <c r="Z167" s="47"/>
      <c r="AA167" s="69">
        <v>167</v>
      </c>
      <c r="AB167" s="69"/>
      <c r="AC167" s="70"/>
      <c r="AD167" s="76" t="s">
        <v>6294</v>
      </c>
      <c r="AE167" s="81" t="s">
        <v>5969</v>
      </c>
      <c r="AF167" s="76">
        <v>27</v>
      </c>
      <c r="AG167" s="76">
        <v>18</v>
      </c>
      <c r="AH167" s="76">
        <v>27</v>
      </c>
      <c r="AI167" s="76">
        <v>0</v>
      </c>
      <c r="AJ167" s="76">
        <v>35</v>
      </c>
      <c r="AK167" s="76">
        <v>11</v>
      </c>
      <c r="AL167" s="76" t="b">
        <v>0</v>
      </c>
      <c r="AM167" s="78">
        <v>45151.800405092596</v>
      </c>
      <c r="AN167" s="76" t="s">
        <v>6618</v>
      </c>
      <c r="AO167" s="76" t="s">
        <v>6818</v>
      </c>
      <c r="AP167" s="76"/>
      <c r="AQ167" s="76"/>
      <c r="AR167" s="76"/>
      <c r="AS167" s="76"/>
      <c r="AT167" s="76"/>
      <c r="AU167" s="76"/>
      <c r="AV167" s="76"/>
      <c r="AW167" s="76"/>
      <c r="AX167" s="76" t="b">
        <v>0</v>
      </c>
      <c r="AY167" s="76"/>
      <c r="AZ167" s="76"/>
      <c r="BA167" s="76" t="b">
        <v>0</v>
      </c>
      <c r="BB167" s="76" t="b">
        <v>1</v>
      </c>
      <c r="BC167" s="76" t="b">
        <v>1</v>
      </c>
      <c r="BD167" s="76" t="b">
        <v>0</v>
      </c>
      <c r="BE167" s="76" t="b">
        <v>0</v>
      </c>
      <c r="BF167" s="76" t="b">
        <v>0</v>
      </c>
      <c r="BG167" s="76" t="b">
        <v>0</v>
      </c>
      <c r="BH167" s="83" t="str">
        <f>HYPERLINK("https://pbs.twimg.com/profile_banners/1690803524295172097/1692013020")</f>
        <v>https://pbs.twimg.com/profile_banners/1690803524295172097/1692013020</v>
      </c>
      <c r="BI167" s="76"/>
      <c r="BJ167" s="76" t="s">
        <v>7245</v>
      </c>
      <c r="BK167" s="76" t="b">
        <v>0</v>
      </c>
      <c r="BL167" s="76"/>
      <c r="BM167" s="76" t="s">
        <v>66</v>
      </c>
      <c r="BN167" s="76" t="s">
        <v>7247</v>
      </c>
      <c r="BO167" s="83" t="str">
        <f>HYPERLINK("https://twitter.com/godisahodler")</f>
        <v>https://twitter.com/godisahodler</v>
      </c>
      <c r="BP167" s="2"/>
    </row>
    <row r="168" spans="1:68" x14ac:dyDescent="0.25">
      <c r="A168" s="62" t="s">
        <v>570</v>
      </c>
      <c r="B168" s="63"/>
      <c r="C168" s="63"/>
      <c r="D168" s="64"/>
      <c r="E168" s="66"/>
      <c r="F168" s="102" t="str">
        <f>HYPERLINK("https://pbs.twimg.com/profile_images/1201616472734347266/kQRlJlhu_normal.jpg")</f>
        <v>https://pbs.twimg.com/profile_images/1201616472734347266/kQRlJlhu_normal.jpg</v>
      </c>
      <c r="G168" s="63"/>
      <c r="H168" s="67"/>
      <c r="I168" s="68"/>
      <c r="J168" s="68"/>
      <c r="K168" s="67" t="s">
        <v>7412</v>
      </c>
      <c r="L168" s="71"/>
      <c r="M168" s="72"/>
      <c r="N168" s="72"/>
      <c r="O168" s="73"/>
      <c r="P168" s="74"/>
      <c r="Q168" s="74"/>
      <c r="R168" s="86"/>
      <c r="S168" s="86"/>
      <c r="T168" s="86"/>
      <c r="U168" s="86"/>
      <c r="V168" s="48"/>
      <c r="W168" s="48"/>
      <c r="X168" s="48"/>
      <c r="Y168" s="48"/>
      <c r="Z168" s="47"/>
      <c r="AA168" s="69">
        <v>168</v>
      </c>
      <c r="AB168" s="69"/>
      <c r="AC168" s="70"/>
      <c r="AD168" s="76" t="s">
        <v>6295</v>
      </c>
      <c r="AE168" s="81" t="s">
        <v>5592</v>
      </c>
      <c r="AF168" s="76">
        <v>8177</v>
      </c>
      <c r="AG168" s="76">
        <v>1131</v>
      </c>
      <c r="AH168" s="76">
        <v>1515</v>
      </c>
      <c r="AI168" s="76">
        <v>269</v>
      </c>
      <c r="AJ168" s="76">
        <v>18</v>
      </c>
      <c r="AK168" s="76">
        <v>421</v>
      </c>
      <c r="AL168" s="76" t="b">
        <v>0</v>
      </c>
      <c r="AM168" s="78">
        <v>40184.773912037039</v>
      </c>
      <c r="AN168" s="76" t="s">
        <v>6619</v>
      </c>
      <c r="AO168" s="76" t="s">
        <v>6819</v>
      </c>
      <c r="AP168" s="83" t="str">
        <f>HYPERLINK("https://t.co/dJugCEilny")</f>
        <v>https://t.co/dJugCEilny</v>
      </c>
      <c r="AQ168" s="83" t="str">
        <f>HYPERLINK("https://www.facebook.com/carloseduardo.torragomes")</f>
        <v>https://www.facebook.com/carloseduardo.torragomes</v>
      </c>
      <c r="AR168" s="76" t="s">
        <v>7089</v>
      </c>
      <c r="AS168" s="76" t="s">
        <v>7207</v>
      </c>
      <c r="AT168" s="76" t="s">
        <v>7214</v>
      </c>
      <c r="AU168" s="76" t="s">
        <v>7231</v>
      </c>
      <c r="AV168" s="76"/>
      <c r="AW168" s="83" t="str">
        <f>HYPERLINK("https://t.co/dJugCEilny")</f>
        <v>https://t.co/dJugCEilny</v>
      </c>
      <c r="AX168" s="76" t="b">
        <v>0</v>
      </c>
      <c r="AY168" s="76"/>
      <c r="AZ168" s="76"/>
      <c r="BA168" s="76" t="b">
        <v>0</v>
      </c>
      <c r="BB168" s="76" t="b">
        <v>1</v>
      </c>
      <c r="BC168" s="76" t="b">
        <v>0</v>
      </c>
      <c r="BD168" s="76" t="b">
        <v>0</v>
      </c>
      <c r="BE168" s="76" t="b">
        <v>0</v>
      </c>
      <c r="BF168" s="76" t="b">
        <v>0</v>
      </c>
      <c r="BG168" s="76" t="b">
        <v>0</v>
      </c>
      <c r="BH168" s="83" t="str">
        <f>HYPERLINK("https://pbs.twimg.com/profile_banners/102444270/1548982368")</f>
        <v>https://pbs.twimg.com/profile_banners/102444270/1548982368</v>
      </c>
      <c r="BI168" s="76"/>
      <c r="BJ168" s="76" t="s">
        <v>7245</v>
      </c>
      <c r="BK168" s="76" t="b">
        <v>0</v>
      </c>
      <c r="BL168" s="76"/>
      <c r="BM168" s="76" t="s">
        <v>65</v>
      </c>
      <c r="BN168" s="76" t="s">
        <v>7247</v>
      </c>
      <c r="BO168" s="83" t="str">
        <f>HYPERLINK("https://twitter.com/eduardogomesto")</f>
        <v>https://twitter.com/eduardogomesto</v>
      </c>
      <c r="BP168" s="2"/>
    </row>
    <row r="169" spans="1:68" x14ac:dyDescent="0.25">
      <c r="A169" s="62" t="s">
        <v>383</v>
      </c>
      <c r="B169" s="63"/>
      <c r="C169" s="63"/>
      <c r="D169" s="64"/>
      <c r="E169" s="66"/>
      <c r="F169" s="102" t="str">
        <f>HYPERLINK("https://pbs.twimg.com/profile_images/1618357365631229952/XowZbCmN_normal.jpg")</f>
        <v>https://pbs.twimg.com/profile_images/1618357365631229952/XowZbCmN_normal.jpg</v>
      </c>
      <c r="G169" s="63"/>
      <c r="H169" s="67"/>
      <c r="I169" s="68"/>
      <c r="J169" s="68"/>
      <c r="K169" s="67" t="s">
        <v>7413</v>
      </c>
      <c r="L169" s="71"/>
      <c r="M169" s="72"/>
      <c r="N169" s="72"/>
      <c r="O169" s="73"/>
      <c r="P169" s="74"/>
      <c r="Q169" s="74"/>
      <c r="R169" s="86"/>
      <c r="S169" s="86"/>
      <c r="T169" s="86"/>
      <c r="U169" s="86"/>
      <c r="V169" s="48"/>
      <c r="W169" s="48"/>
      <c r="X169" s="48"/>
      <c r="Y169" s="48"/>
      <c r="Z169" s="47"/>
      <c r="AA169" s="69">
        <v>169</v>
      </c>
      <c r="AB169" s="69"/>
      <c r="AC169" s="70"/>
      <c r="AD169" s="76" t="s">
        <v>6296</v>
      </c>
      <c r="AE169" s="81" t="s">
        <v>5970</v>
      </c>
      <c r="AF169" s="76">
        <v>2</v>
      </c>
      <c r="AG169" s="76">
        <v>13</v>
      </c>
      <c r="AH169" s="76">
        <v>35</v>
      </c>
      <c r="AI169" s="76">
        <v>0</v>
      </c>
      <c r="AJ169" s="76">
        <v>10</v>
      </c>
      <c r="AK169" s="76">
        <v>21</v>
      </c>
      <c r="AL169" s="76" t="b">
        <v>0</v>
      </c>
      <c r="AM169" s="78">
        <v>44951.880636574075</v>
      </c>
      <c r="AN169" s="76"/>
      <c r="AO169" s="76"/>
      <c r="AP169" s="83" t="str">
        <f>HYPERLINK("https://t.co/phNtSCVLe7")</f>
        <v>https://t.co/phNtSCVLe7</v>
      </c>
      <c r="AQ169" s="83" t="str">
        <f>HYPERLINK("https://modelodevida.com/")</f>
        <v>https://modelodevida.com/</v>
      </c>
      <c r="AR169" s="76" t="s">
        <v>7090</v>
      </c>
      <c r="AS169" s="76"/>
      <c r="AT169" s="76"/>
      <c r="AU169" s="76"/>
      <c r="AV169" s="76"/>
      <c r="AW169" s="83" t="str">
        <f>HYPERLINK("https://t.co/phNtSCVLe7")</f>
        <v>https://t.co/phNtSCVLe7</v>
      </c>
      <c r="AX169" s="76" t="b">
        <v>0</v>
      </c>
      <c r="AY169" s="76"/>
      <c r="AZ169" s="76"/>
      <c r="BA169" s="76" t="b">
        <v>0</v>
      </c>
      <c r="BB169" s="76" t="b">
        <v>1</v>
      </c>
      <c r="BC169" s="76" t="b">
        <v>1</v>
      </c>
      <c r="BD169" s="76" t="b">
        <v>0</v>
      </c>
      <c r="BE169" s="76" t="b">
        <v>0</v>
      </c>
      <c r="BF169" s="76" t="b">
        <v>0</v>
      </c>
      <c r="BG169" s="76" t="b">
        <v>0</v>
      </c>
      <c r="BH169" s="83" t="str">
        <f>HYPERLINK("https://pbs.twimg.com/profile_banners/1618354840773459968/1675362581")</f>
        <v>https://pbs.twimg.com/profile_banners/1618354840773459968/1675362581</v>
      </c>
      <c r="BI169" s="76"/>
      <c r="BJ169" s="76" t="s">
        <v>7245</v>
      </c>
      <c r="BK169" s="76" t="b">
        <v>0</v>
      </c>
      <c r="BL169" s="76"/>
      <c r="BM169" s="76" t="s">
        <v>66</v>
      </c>
      <c r="BN169" s="76" t="s">
        <v>7247</v>
      </c>
      <c r="BO169" s="83" t="str">
        <f>HYPERLINK("https://twitter.com/modelodevida_")</f>
        <v>https://twitter.com/modelodevida_</v>
      </c>
      <c r="BP169" s="2"/>
    </row>
    <row r="170" spans="1:68" x14ac:dyDescent="0.25">
      <c r="A170" s="62" t="s">
        <v>384</v>
      </c>
      <c r="B170" s="63"/>
      <c r="C170" s="63"/>
      <c r="D170" s="64"/>
      <c r="E170" s="66"/>
      <c r="F170" s="102" t="str">
        <f>HYPERLINK("https://abs.twimg.com/sticky/default_profile_images/default_profile_normal.png")</f>
        <v>https://abs.twimg.com/sticky/default_profile_images/default_profile_normal.png</v>
      </c>
      <c r="G170" s="63"/>
      <c r="H170" s="67"/>
      <c r="I170" s="68"/>
      <c r="J170" s="68"/>
      <c r="K170" s="67" t="s">
        <v>7414</v>
      </c>
      <c r="L170" s="71"/>
      <c r="M170" s="72"/>
      <c r="N170" s="72"/>
      <c r="O170" s="73"/>
      <c r="P170" s="74"/>
      <c r="Q170" s="74"/>
      <c r="R170" s="86"/>
      <c r="S170" s="86"/>
      <c r="T170" s="86"/>
      <c r="U170" s="86"/>
      <c r="V170" s="48"/>
      <c r="W170" s="48"/>
      <c r="X170" s="48"/>
      <c r="Y170" s="48"/>
      <c r="Z170" s="47"/>
      <c r="AA170" s="69">
        <v>170</v>
      </c>
      <c r="AB170" s="69"/>
      <c r="AC170" s="70"/>
      <c r="AD170" s="76" t="s">
        <v>6297</v>
      </c>
      <c r="AE170" s="81" t="s">
        <v>5971</v>
      </c>
      <c r="AF170" s="76">
        <v>1</v>
      </c>
      <c r="AG170" s="76">
        <v>2</v>
      </c>
      <c r="AH170" s="76">
        <v>24</v>
      </c>
      <c r="AI170" s="76">
        <v>0</v>
      </c>
      <c r="AJ170" s="76">
        <v>0</v>
      </c>
      <c r="AK170" s="76">
        <v>24</v>
      </c>
      <c r="AL170" s="76" t="b">
        <v>0</v>
      </c>
      <c r="AM170" s="78">
        <v>44517.148599537039</v>
      </c>
      <c r="AN170" s="76"/>
      <c r="AO170" s="76" t="s">
        <v>6820</v>
      </c>
      <c r="AP170" s="76"/>
      <c r="AQ170" s="76"/>
      <c r="AR170" s="76"/>
      <c r="AS170" s="76"/>
      <c r="AT170" s="76"/>
      <c r="AU170" s="76"/>
      <c r="AV170" s="76"/>
      <c r="AW170" s="76"/>
      <c r="AX170" s="76" t="b">
        <v>0</v>
      </c>
      <c r="AY170" s="76"/>
      <c r="AZ170" s="76"/>
      <c r="BA170" s="76" t="b">
        <v>0</v>
      </c>
      <c r="BB170" s="76" t="b">
        <v>1</v>
      </c>
      <c r="BC170" s="76" t="b">
        <v>1</v>
      </c>
      <c r="BD170" s="76" t="b">
        <v>1</v>
      </c>
      <c r="BE170" s="76" t="b">
        <v>0</v>
      </c>
      <c r="BF170" s="76" t="b">
        <v>0</v>
      </c>
      <c r="BG170" s="76" t="b">
        <v>0</v>
      </c>
      <c r="BH170" s="76"/>
      <c r="BI170" s="76"/>
      <c r="BJ170" s="76" t="s">
        <v>7245</v>
      </c>
      <c r="BK170" s="76" t="b">
        <v>0</v>
      </c>
      <c r="BL170" s="76"/>
      <c r="BM170" s="76" t="s">
        <v>66</v>
      </c>
      <c r="BN170" s="76" t="s">
        <v>7247</v>
      </c>
      <c r="BO170" s="83" t="str">
        <f>HYPERLINK("https://twitter.com/alessan87651124")</f>
        <v>https://twitter.com/alessan87651124</v>
      </c>
      <c r="BP170" s="2"/>
    </row>
    <row r="171" spans="1:68" x14ac:dyDescent="0.25">
      <c r="A171" s="62" t="s">
        <v>385</v>
      </c>
      <c r="B171" s="63"/>
      <c r="C171" s="63"/>
      <c r="D171" s="64"/>
      <c r="E171" s="66"/>
      <c r="F171" s="102" t="str">
        <f>HYPERLINK("https://pbs.twimg.com/profile_images/1673748047212290048/zb3eIPOb_normal.jpg")</f>
        <v>https://pbs.twimg.com/profile_images/1673748047212290048/zb3eIPOb_normal.jpg</v>
      </c>
      <c r="G171" s="63"/>
      <c r="H171" s="67"/>
      <c r="I171" s="68"/>
      <c r="J171" s="68"/>
      <c r="K171" s="67" t="s">
        <v>7415</v>
      </c>
      <c r="L171" s="71"/>
      <c r="M171" s="72"/>
      <c r="N171" s="72"/>
      <c r="O171" s="73"/>
      <c r="P171" s="74"/>
      <c r="Q171" s="74"/>
      <c r="R171" s="86"/>
      <c r="S171" s="86"/>
      <c r="T171" s="86"/>
      <c r="U171" s="86"/>
      <c r="V171" s="48"/>
      <c r="W171" s="48"/>
      <c r="X171" s="48"/>
      <c r="Y171" s="48"/>
      <c r="Z171" s="47"/>
      <c r="AA171" s="69">
        <v>171</v>
      </c>
      <c r="AB171" s="69"/>
      <c r="AC171" s="70"/>
      <c r="AD171" s="76" t="s">
        <v>6298</v>
      </c>
      <c r="AE171" s="81" t="s">
        <v>5972</v>
      </c>
      <c r="AF171" s="76">
        <v>7</v>
      </c>
      <c r="AG171" s="76">
        <v>23</v>
      </c>
      <c r="AH171" s="76">
        <v>57</v>
      </c>
      <c r="AI171" s="76">
        <v>0</v>
      </c>
      <c r="AJ171" s="76">
        <v>95</v>
      </c>
      <c r="AK171" s="76">
        <v>16</v>
      </c>
      <c r="AL171" s="76" t="b">
        <v>0</v>
      </c>
      <c r="AM171" s="78">
        <v>45104.735810185186</v>
      </c>
      <c r="AN171" s="76"/>
      <c r="AO171" s="76" t="s">
        <v>6821</v>
      </c>
      <c r="AP171" s="83" t="str">
        <f>HYPERLINK("https://t.co/CjDLFhL9lV")</f>
        <v>https://t.co/CjDLFhL9lV</v>
      </c>
      <c r="AQ171" s="83" t="str">
        <f>HYPERLINK("https://fuvir.com")</f>
        <v>https://fuvir.com</v>
      </c>
      <c r="AR171" s="76" t="s">
        <v>7091</v>
      </c>
      <c r="AS171" s="76"/>
      <c r="AT171" s="76"/>
      <c r="AU171" s="76"/>
      <c r="AV171" s="76"/>
      <c r="AW171" s="83" t="str">
        <f>HYPERLINK("https://t.co/CjDLFhL9lV")</f>
        <v>https://t.co/CjDLFhL9lV</v>
      </c>
      <c r="AX171" s="76" t="b">
        <v>0</v>
      </c>
      <c r="AY171" s="76"/>
      <c r="AZ171" s="76"/>
      <c r="BA171" s="76" t="b">
        <v>0</v>
      </c>
      <c r="BB171" s="76" t="b">
        <v>1</v>
      </c>
      <c r="BC171" s="76" t="b">
        <v>1</v>
      </c>
      <c r="BD171" s="76" t="b">
        <v>0</v>
      </c>
      <c r="BE171" s="76" t="b">
        <v>0</v>
      </c>
      <c r="BF171" s="76" t="b">
        <v>0</v>
      </c>
      <c r="BG171" s="76" t="b">
        <v>0</v>
      </c>
      <c r="BH171" s="83" t="str">
        <f>HYPERLINK("https://pbs.twimg.com/profile_banners/1673747869893836801/1687888152")</f>
        <v>https://pbs.twimg.com/profile_banners/1673747869893836801/1687888152</v>
      </c>
      <c r="BI171" s="76"/>
      <c r="BJ171" s="76" t="s">
        <v>7245</v>
      </c>
      <c r="BK171" s="76" t="b">
        <v>0</v>
      </c>
      <c r="BL171" s="76"/>
      <c r="BM171" s="76" t="s">
        <v>66</v>
      </c>
      <c r="BN171" s="76" t="s">
        <v>7247</v>
      </c>
      <c r="BO171" s="83" t="str">
        <f>HYPERLINK("https://twitter.com/fuvirbrasil")</f>
        <v>https://twitter.com/fuvirbrasil</v>
      </c>
      <c r="BP171" s="2"/>
    </row>
    <row r="172" spans="1:68" x14ac:dyDescent="0.25">
      <c r="A172" s="62" t="s">
        <v>386</v>
      </c>
      <c r="B172" s="63"/>
      <c r="C172" s="63"/>
      <c r="D172" s="64"/>
      <c r="E172" s="66"/>
      <c r="F172" s="102" t="str">
        <f>HYPERLINK("https://pbs.twimg.com/profile_images/1500861293259112450/uE9Ftq0s_normal.jpg")</f>
        <v>https://pbs.twimg.com/profile_images/1500861293259112450/uE9Ftq0s_normal.jpg</v>
      </c>
      <c r="G172" s="63"/>
      <c r="H172" s="67"/>
      <c r="I172" s="68"/>
      <c r="J172" s="68"/>
      <c r="K172" s="67" t="s">
        <v>7416</v>
      </c>
      <c r="L172" s="71"/>
      <c r="M172" s="72"/>
      <c r="N172" s="72"/>
      <c r="O172" s="73"/>
      <c r="P172" s="74"/>
      <c r="Q172" s="74"/>
      <c r="R172" s="86"/>
      <c r="S172" s="86"/>
      <c r="T172" s="86"/>
      <c r="U172" s="86"/>
      <c r="V172" s="48"/>
      <c r="W172" s="48"/>
      <c r="X172" s="48"/>
      <c r="Y172" s="48"/>
      <c r="Z172" s="47"/>
      <c r="AA172" s="69">
        <v>172</v>
      </c>
      <c r="AB172" s="69"/>
      <c r="AC172" s="70"/>
      <c r="AD172" s="76" t="s">
        <v>6299</v>
      </c>
      <c r="AE172" s="81" t="s">
        <v>6512</v>
      </c>
      <c r="AF172" s="76">
        <v>156</v>
      </c>
      <c r="AG172" s="76">
        <v>184</v>
      </c>
      <c r="AH172" s="76">
        <v>1212</v>
      </c>
      <c r="AI172" s="76">
        <v>3</v>
      </c>
      <c r="AJ172" s="76">
        <v>3812</v>
      </c>
      <c r="AK172" s="76">
        <v>281</v>
      </c>
      <c r="AL172" s="76" t="b">
        <v>0</v>
      </c>
      <c r="AM172" s="78">
        <v>39837.963784722226</v>
      </c>
      <c r="AN172" s="76" t="s">
        <v>3794</v>
      </c>
      <c r="AO172" s="76" t="s">
        <v>6822</v>
      </c>
      <c r="AP172" s="83" t="str">
        <f>HYPERLINK("https://t.co/rDBfLA1rGt")</f>
        <v>https://t.co/rDBfLA1rGt</v>
      </c>
      <c r="AQ172" s="83" t="str">
        <f>HYPERLINK("https://www.instagram.com/henriquecaldeira/")</f>
        <v>https://www.instagram.com/henriquecaldeira/</v>
      </c>
      <c r="AR172" s="76" t="s">
        <v>7092</v>
      </c>
      <c r="AS172" s="76"/>
      <c r="AT172" s="76"/>
      <c r="AU172" s="76"/>
      <c r="AV172" s="76"/>
      <c r="AW172" s="83" t="str">
        <f>HYPERLINK("https://t.co/rDBfLA1rGt")</f>
        <v>https://t.co/rDBfLA1rGt</v>
      </c>
      <c r="AX172" s="76" t="b">
        <v>0</v>
      </c>
      <c r="AY172" s="76"/>
      <c r="AZ172" s="76"/>
      <c r="BA172" s="76" t="b">
        <v>0</v>
      </c>
      <c r="BB172" s="76" t="b">
        <v>1</v>
      </c>
      <c r="BC172" s="76" t="b">
        <v>0</v>
      </c>
      <c r="BD172" s="76" t="b">
        <v>0</v>
      </c>
      <c r="BE172" s="76" t="b">
        <v>0</v>
      </c>
      <c r="BF172" s="76" t="b">
        <v>0</v>
      </c>
      <c r="BG172" s="76" t="b">
        <v>0</v>
      </c>
      <c r="BH172" s="83" t="str">
        <f>HYPERLINK("https://pbs.twimg.com/profile_banners/19468254/1646750996")</f>
        <v>https://pbs.twimg.com/profile_banners/19468254/1646750996</v>
      </c>
      <c r="BI172" s="76"/>
      <c r="BJ172" s="76" t="s">
        <v>7245</v>
      </c>
      <c r="BK172" s="76" t="b">
        <v>0</v>
      </c>
      <c r="BL172" s="76"/>
      <c r="BM172" s="76" t="s">
        <v>66</v>
      </c>
      <c r="BN172" s="76" t="s">
        <v>7247</v>
      </c>
      <c r="BO172" s="83" t="str">
        <f>HYPERLINK("https://twitter.com/henriquemg")</f>
        <v>https://twitter.com/henriquemg</v>
      </c>
      <c r="BP172" s="2"/>
    </row>
    <row r="173" spans="1:68" x14ac:dyDescent="0.25">
      <c r="A173" s="62" t="s">
        <v>387</v>
      </c>
      <c r="B173" s="63"/>
      <c r="C173" s="63"/>
      <c r="D173" s="64"/>
      <c r="E173" s="66"/>
      <c r="F173" s="102" t="str">
        <f>HYPERLINK("https://pbs.twimg.com/profile_images/1701630324868820994/BMpmquVs_normal.jpg")</f>
        <v>https://pbs.twimg.com/profile_images/1701630324868820994/BMpmquVs_normal.jpg</v>
      </c>
      <c r="G173" s="63"/>
      <c r="H173" s="67"/>
      <c r="I173" s="68"/>
      <c r="J173" s="68"/>
      <c r="K173" s="67" t="s">
        <v>7417</v>
      </c>
      <c r="L173" s="71"/>
      <c r="M173" s="72"/>
      <c r="N173" s="72"/>
      <c r="O173" s="73"/>
      <c r="P173" s="74"/>
      <c r="Q173" s="74"/>
      <c r="R173" s="86"/>
      <c r="S173" s="86"/>
      <c r="T173" s="86"/>
      <c r="U173" s="86"/>
      <c r="V173" s="48"/>
      <c r="W173" s="48"/>
      <c r="X173" s="48"/>
      <c r="Y173" s="48"/>
      <c r="Z173" s="47"/>
      <c r="AA173" s="69">
        <v>173</v>
      </c>
      <c r="AB173" s="69"/>
      <c r="AC173" s="70"/>
      <c r="AD173" s="76" t="s">
        <v>6300</v>
      </c>
      <c r="AE173" s="81" t="s">
        <v>5973</v>
      </c>
      <c r="AF173" s="76">
        <v>0</v>
      </c>
      <c r="AG173" s="76">
        <v>4</v>
      </c>
      <c r="AH173" s="76">
        <v>5</v>
      </c>
      <c r="AI173" s="76">
        <v>0</v>
      </c>
      <c r="AJ173" s="76">
        <v>2</v>
      </c>
      <c r="AK173" s="76">
        <v>2</v>
      </c>
      <c r="AL173" s="76" t="b">
        <v>0</v>
      </c>
      <c r="AM173" s="78">
        <v>45181.67659722222</v>
      </c>
      <c r="AN173" s="76"/>
      <c r="AO173" s="76"/>
      <c r="AP173" s="76"/>
      <c r="AQ173" s="76"/>
      <c r="AR173" s="76"/>
      <c r="AS173" s="76"/>
      <c r="AT173" s="76"/>
      <c r="AU173" s="76"/>
      <c r="AV173" s="76"/>
      <c r="AW173" s="76"/>
      <c r="AX173" s="76" t="b">
        <v>0</v>
      </c>
      <c r="AY173" s="76"/>
      <c r="AZ173" s="76"/>
      <c r="BA173" s="76" t="b">
        <v>0</v>
      </c>
      <c r="BB173" s="76" t="b">
        <v>1</v>
      </c>
      <c r="BC173" s="76" t="b">
        <v>1</v>
      </c>
      <c r="BD173" s="76" t="b">
        <v>0</v>
      </c>
      <c r="BE173" s="76" t="b">
        <v>0</v>
      </c>
      <c r="BF173" s="76" t="b">
        <v>0</v>
      </c>
      <c r="BG173" s="76" t="b">
        <v>0</v>
      </c>
      <c r="BH173" s="76"/>
      <c r="BI173" s="76"/>
      <c r="BJ173" s="76" t="s">
        <v>7245</v>
      </c>
      <c r="BK173" s="76" t="b">
        <v>0</v>
      </c>
      <c r="BL173" s="76"/>
      <c r="BM173" s="76" t="s">
        <v>66</v>
      </c>
      <c r="BN173" s="76" t="s">
        <v>7247</v>
      </c>
      <c r="BO173" s="83" t="str">
        <f>HYPERLINK("https://twitter.com/henrique_soussa")</f>
        <v>https://twitter.com/henrique_soussa</v>
      </c>
      <c r="BP173" s="2"/>
    </row>
    <row r="174" spans="1:68" x14ac:dyDescent="0.25">
      <c r="A174" s="62" t="s">
        <v>388</v>
      </c>
      <c r="B174" s="63"/>
      <c r="C174" s="63"/>
      <c r="D174" s="64"/>
      <c r="E174" s="66"/>
      <c r="F174" s="102" t="str">
        <f>HYPERLINK("https://pbs.twimg.com/profile_images/1687235229902123014/aEOtNoGW_normal.jpg")</f>
        <v>https://pbs.twimg.com/profile_images/1687235229902123014/aEOtNoGW_normal.jpg</v>
      </c>
      <c r="G174" s="63"/>
      <c r="H174" s="67"/>
      <c r="I174" s="68"/>
      <c r="J174" s="68"/>
      <c r="K174" s="67" t="s">
        <v>7418</v>
      </c>
      <c r="L174" s="71"/>
      <c r="M174" s="72"/>
      <c r="N174" s="72"/>
      <c r="O174" s="73"/>
      <c r="P174" s="74"/>
      <c r="Q174" s="74"/>
      <c r="R174" s="86"/>
      <c r="S174" s="86"/>
      <c r="T174" s="86"/>
      <c r="U174" s="86"/>
      <c r="V174" s="48"/>
      <c r="W174" s="48"/>
      <c r="X174" s="48"/>
      <c r="Y174" s="48"/>
      <c r="Z174" s="47"/>
      <c r="AA174" s="69">
        <v>174</v>
      </c>
      <c r="AB174" s="69"/>
      <c r="AC174" s="70"/>
      <c r="AD174" s="76" t="s">
        <v>6301</v>
      </c>
      <c r="AE174" s="81" t="s">
        <v>5974</v>
      </c>
      <c r="AF174" s="76">
        <v>2</v>
      </c>
      <c r="AG174" s="76">
        <v>19</v>
      </c>
      <c r="AH174" s="76">
        <v>12</v>
      </c>
      <c r="AI174" s="76">
        <v>0</v>
      </c>
      <c r="AJ174" s="76">
        <v>5</v>
      </c>
      <c r="AK174" s="76">
        <v>11</v>
      </c>
      <c r="AL174" s="76" t="b">
        <v>0</v>
      </c>
      <c r="AM174" s="78">
        <v>45139.733831018515</v>
      </c>
      <c r="AN174" s="76"/>
      <c r="AO174" s="76" t="s">
        <v>6823</v>
      </c>
      <c r="AP174" s="83" t="str">
        <f>HYPERLINK("https://t.co/ZLiTrW17lj")</f>
        <v>https://t.co/ZLiTrW17lj</v>
      </c>
      <c r="AQ174" s="83" t="str">
        <f>HYPERLINK("https://bit.ly/forum-black-ratt")</f>
        <v>https://bit.ly/forum-black-ratt</v>
      </c>
      <c r="AR174" s="76" t="s">
        <v>7093</v>
      </c>
      <c r="AS174" s="76"/>
      <c r="AT174" s="76"/>
      <c r="AU174" s="76"/>
      <c r="AV174" s="76"/>
      <c r="AW174" s="83" t="str">
        <f>HYPERLINK("https://t.co/ZLiTrW17lj")</f>
        <v>https://t.co/ZLiTrW17lj</v>
      </c>
      <c r="AX174" s="76" t="b">
        <v>0</v>
      </c>
      <c r="AY174" s="76"/>
      <c r="AZ174" s="76"/>
      <c r="BA174" s="76" t="b">
        <v>0</v>
      </c>
      <c r="BB174" s="76" t="b">
        <v>1</v>
      </c>
      <c r="BC174" s="76" t="b">
        <v>1</v>
      </c>
      <c r="BD174" s="76" t="b">
        <v>0</v>
      </c>
      <c r="BE174" s="76" t="b">
        <v>0</v>
      </c>
      <c r="BF174" s="76" t="b">
        <v>0</v>
      </c>
      <c r="BG174" s="76" t="b">
        <v>0</v>
      </c>
      <c r="BH174" s="83" t="str">
        <f>HYPERLINK("https://pbs.twimg.com/profile_banners/1686430714378485760/1691104302")</f>
        <v>https://pbs.twimg.com/profile_banners/1686430714378485760/1691104302</v>
      </c>
      <c r="BI174" s="76"/>
      <c r="BJ174" s="76" t="s">
        <v>7245</v>
      </c>
      <c r="BK174" s="76" t="b">
        <v>0</v>
      </c>
      <c r="BL174" s="76"/>
      <c r="BM174" s="76" t="s">
        <v>66</v>
      </c>
      <c r="BN174" s="76" t="s">
        <v>7247</v>
      </c>
      <c r="BO174" s="83" t="str">
        <f>HYPERLINK("https://twitter.com/cortesreiratao")</f>
        <v>https://twitter.com/cortesreiratao</v>
      </c>
      <c r="BP174" s="2"/>
    </row>
    <row r="175" spans="1:68" x14ac:dyDescent="0.25">
      <c r="A175" s="62" t="s">
        <v>389</v>
      </c>
      <c r="B175" s="63"/>
      <c r="C175" s="63"/>
      <c r="D175" s="64"/>
      <c r="E175" s="66"/>
      <c r="F175" s="102" t="str">
        <f>HYPERLINK("https://pbs.twimg.com/profile_images/1662844906858004480/xz3fk7W2_normal.jpg")</f>
        <v>https://pbs.twimg.com/profile_images/1662844906858004480/xz3fk7W2_normal.jpg</v>
      </c>
      <c r="G175" s="63"/>
      <c r="H175" s="67"/>
      <c r="I175" s="68"/>
      <c r="J175" s="68"/>
      <c r="K175" s="67" t="s">
        <v>7419</v>
      </c>
      <c r="L175" s="71"/>
      <c r="M175" s="72"/>
      <c r="N175" s="72"/>
      <c r="O175" s="73"/>
      <c r="P175" s="74"/>
      <c r="Q175" s="74"/>
      <c r="R175" s="86"/>
      <c r="S175" s="86"/>
      <c r="T175" s="86"/>
      <c r="U175" s="86"/>
      <c r="V175" s="48"/>
      <c r="W175" s="48"/>
      <c r="X175" s="48"/>
      <c r="Y175" s="48"/>
      <c r="Z175" s="47"/>
      <c r="AA175" s="69">
        <v>175</v>
      </c>
      <c r="AB175" s="69"/>
      <c r="AC175" s="70"/>
      <c r="AD175" s="76" t="s">
        <v>6302</v>
      </c>
      <c r="AE175" s="81" t="s">
        <v>5975</v>
      </c>
      <c r="AF175" s="76">
        <v>3</v>
      </c>
      <c r="AG175" s="76">
        <v>21</v>
      </c>
      <c r="AH175" s="76">
        <v>194</v>
      </c>
      <c r="AI175" s="76">
        <v>0</v>
      </c>
      <c r="AJ175" s="76">
        <v>2</v>
      </c>
      <c r="AK175" s="76">
        <v>120</v>
      </c>
      <c r="AL175" s="76" t="b">
        <v>0</v>
      </c>
      <c r="AM175" s="78">
        <v>45057.048668981479</v>
      </c>
      <c r="AN175" s="76"/>
      <c r="AO175" s="76" t="s">
        <v>6824</v>
      </c>
      <c r="AP175" s="76"/>
      <c r="AQ175" s="76"/>
      <c r="AR175" s="76"/>
      <c r="AS175" s="76"/>
      <c r="AT175" s="76"/>
      <c r="AU175" s="76"/>
      <c r="AV175" s="76"/>
      <c r="AW175" s="76"/>
      <c r="AX175" s="76" t="b">
        <v>0</v>
      </c>
      <c r="AY175" s="76"/>
      <c r="AZ175" s="76"/>
      <c r="BA175" s="76" t="b">
        <v>0</v>
      </c>
      <c r="BB175" s="76" t="b">
        <v>1</v>
      </c>
      <c r="BC175" s="76" t="b">
        <v>1</v>
      </c>
      <c r="BD175" s="76" t="b">
        <v>0</v>
      </c>
      <c r="BE175" s="76" t="b">
        <v>0</v>
      </c>
      <c r="BF175" s="76" t="b">
        <v>0</v>
      </c>
      <c r="BG175" s="76" t="b">
        <v>0</v>
      </c>
      <c r="BH175" s="83" t="str">
        <f>HYPERLINK("https://pbs.twimg.com/profile_banners/1656466547450290179/1685288106")</f>
        <v>https://pbs.twimg.com/profile_banners/1656466547450290179/1685288106</v>
      </c>
      <c r="BI175" s="76"/>
      <c r="BJ175" s="76" t="s">
        <v>7245</v>
      </c>
      <c r="BK175" s="76" t="b">
        <v>0</v>
      </c>
      <c r="BL175" s="76"/>
      <c r="BM175" s="76" t="s">
        <v>66</v>
      </c>
      <c r="BN175" s="76" t="s">
        <v>7247</v>
      </c>
      <c r="BO175" s="83" t="str">
        <f>HYPERLINK("https://twitter.com/dparainvestidor")</f>
        <v>https://twitter.com/dparainvestidor</v>
      </c>
      <c r="BP175" s="2"/>
    </row>
    <row r="176" spans="1:68" x14ac:dyDescent="0.25">
      <c r="A176" s="62" t="s">
        <v>390</v>
      </c>
      <c r="B176" s="63"/>
      <c r="C176" s="63"/>
      <c r="D176" s="64"/>
      <c r="E176" s="66"/>
      <c r="F176" s="102" t="str">
        <f>HYPERLINK("https://pbs.twimg.com/profile_images/1607336205410095104/qlxpMv2P_normal.jpg")</f>
        <v>https://pbs.twimg.com/profile_images/1607336205410095104/qlxpMv2P_normal.jpg</v>
      </c>
      <c r="G176" s="63"/>
      <c r="H176" s="67"/>
      <c r="I176" s="68"/>
      <c r="J176" s="68"/>
      <c r="K176" s="67" t="s">
        <v>7420</v>
      </c>
      <c r="L176" s="71"/>
      <c r="M176" s="72"/>
      <c r="N176" s="72"/>
      <c r="O176" s="73"/>
      <c r="P176" s="74"/>
      <c r="Q176" s="74"/>
      <c r="R176" s="86"/>
      <c r="S176" s="86"/>
      <c r="T176" s="86"/>
      <c r="U176" s="86"/>
      <c r="V176" s="48"/>
      <c r="W176" s="48"/>
      <c r="X176" s="48"/>
      <c r="Y176" s="48"/>
      <c r="Z176" s="47"/>
      <c r="AA176" s="69">
        <v>176</v>
      </c>
      <c r="AB176" s="69"/>
      <c r="AC176" s="70"/>
      <c r="AD176" s="76" t="s">
        <v>6303</v>
      </c>
      <c r="AE176" s="81" t="s">
        <v>5976</v>
      </c>
      <c r="AF176" s="76">
        <v>3</v>
      </c>
      <c r="AG176" s="76">
        <v>19</v>
      </c>
      <c r="AH176" s="76">
        <v>8</v>
      </c>
      <c r="AI176" s="76">
        <v>1</v>
      </c>
      <c r="AJ176" s="76">
        <v>2</v>
      </c>
      <c r="AK176" s="76">
        <v>7</v>
      </c>
      <c r="AL176" s="76" t="b">
        <v>0</v>
      </c>
      <c r="AM176" s="78">
        <v>44921.468599537038</v>
      </c>
      <c r="AN176" s="76"/>
      <c r="AO176" s="76" t="s">
        <v>6825</v>
      </c>
      <c r="AP176" s="83" t="str">
        <f>HYPERLINK("https://t.co/SkLJoPNmBM")</f>
        <v>https://t.co/SkLJoPNmBM</v>
      </c>
      <c r="AQ176" s="83" t="str">
        <f>HYPERLINK("https://moneyraio.com.br/verdade/")</f>
        <v>https://moneyraio.com.br/verdade/</v>
      </c>
      <c r="AR176" s="76" t="s">
        <v>7094</v>
      </c>
      <c r="AS176" s="76"/>
      <c r="AT176" s="76"/>
      <c r="AU176" s="76"/>
      <c r="AV176" s="76"/>
      <c r="AW176" s="83" t="str">
        <f>HYPERLINK("https://t.co/SkLJoPNmBM")</f>
        <v>https://t.co/SkLJoPNmBM</v>
      </c>
      <c r="AX176" s="76" t="b">
        <v>0</v>
      </c>
      <c r="AY176" s="76"/>
      <c r="AZ176" s="76"/>
      <c r="BA176" s="76" t="b">
        <v>0</v>
      </c>
      <c r="BB176" s="76" t="b">
        <v>1</v>
      </c>
      <c r="BC176" s="76" t="b">
        <v>1</v>
      </c>
      <c r="BD176" s="76" t="b">
        <v>0</v>
      </c>
      <c r="BE176" s="76" t="b">
        <v>0</v>
      </c>
      <c r="BF176" s="76" t="b">
        <v>0</v>
      </c>
      <c r="BG176" s="76" t="b">
        <v>0</v>
      </c>
      <c r="BH176" s="83" t="str">
        <f>HYPERLINK("https://pbs.twimg.com/profile_banners/1607333550252072972/1672053760")</f>
        <v>https://pbs.twimg.com/profile_banners/1607333550252072972/1672053760</v>
      </c>
      <c r="BI176" s="76"/>
      <c r="BJ176" s="76" t="s">
        <v>7245</v>
      </c>
      <c r="BK176" s="76" t="b">
        <v>0</v>
      </c>
      <c r="BL176" s="76"/>
      <c r="BM176" s="76" t="s">
        <v>66</v>
      </c>
      <c r="BN176" s="76" t="s">
        <v>7247</v>
      </c>
      <c r="BO176" s="83" t="str">
        <f>HYPERLINK("https://twitter.com/moneyraio")</f>
        <v>https://twitter.com/moneyraio</v>
      </c>
      <c r="BP176" s="2"/>
    </row>
    <row r="177" spans="1:68" x14ac:dyDescent="0.25">
      <c r="A177" s="62" t="s">
        <v>391</v>
      </c>
      <c r="B177" s="63"/>
      <c r="C177" s="63"/>
      <c r="D177" s="64"/>
      <c r="E177" s="66"/>
      <c r="F177" s="102" t="str">
        <f>HYPERLINK("https://pbs.twimg.com/profile_images/1620109434906152980/LdPkoH0z_normal.jpg")</f>
        <v>https://pbs.twimg.com/profile_images/1620109434906152980/LdPkoH0z_normal.jpg</v>
      </c>
      <c r="G177" s="63"/>
      <c r="H177" s="67"/>
      <c r="I177" s="68"/>
      <c r="J177" s="68"/>
      <c r="K177" s="67" t="s">
        <v>7421</v>
      </c>
      <c r="L177" s="71"/>
      <c r="M177" s="72"/>
      <c r="N177" s="72"/>
      <c r="O177" s="73"/>
      <c r="P177" s="74"/>
      <c r="Q177" s="74"/>
      <c r="R177" s="86"/>
      <c r="S177" s="86"/>
      <c r="T177" s="86"/>
      <c r="U177" s="86"/>
      <c r="V177" s="48"/>
      <c r="W177" s="48"/>
      <c r="X177" s="48"/>
      <c r="Y177" s="48"/>
      <c r="Z177" s="47"/>
      <c r="AA177" s="69">
        <v>177</v>
      </c>
      <c r="AB177" s="69"/>
      <c r="AC177" s="70"/>
      <c r="AD177" s="76" t="s">
        <v>6304</v>
      </c>
      <c r="AE177" s="81" t="s">
        <v>6513</v>
      </c>
      <c r="AF177" s="76">
        <v>863</v>
      </c>
      <c r="AG177" s="76">
        <v>2745</v>
      </c>
      <c r="AH177" s="76">
        <v>23596</v>
      </c>
      <c r="AI177" s="76">
        <v>26</v>
      </c>
      <c r="AJ177" s="76">
        <v>2206</v>
      </c>
      <c r="AK177" s="76">
        <v>3480</v>
      </c>
      <c r="AL177" s="76" t="b">
        <v>0</v>
      </c>
      <c r="AM177" s="78">
        <v>40876.816319444442</v>
      </c>
      <c r="AN177" s="76" t="s">
        <v>6620</v>
      </c>
      <c r="AO177" s="76" t="s">
        <v>6826</v>
      </c>
      <c r="AP177" s="83" t="str">
        <f>HYPERLINK("https://t.co/XihXfrCGCN")</f>
        <v>https://t.co/XihXfrCGCN</v>
      </c>
      <c r="AQ177" s="83" t="str">
        <f>HYPERLINK("https://hungryforhits.com/downpost3.php?id=9060")</f>
        <v>https://hungryforhits.com/downpost3.php?id=9060</v>
      </c>
      <c r="AR177" s="76" t="s">
        <v>7095</v>
      </c>
      <c r="AS177" s="76"/>
      <c r="AT177" s="76"/>
      <c r="AU177" s="76"/>
      <c r="AV177" s="76"/>
      <c r="AW177" s="83" t="str">
        <f>HYPERLINK("https://t.co/XihXfrCGCN")</f>
        <v>https://t.co/XihXfrCGCN</v>
      </c>
      <c r="AX177" s="76" t="b">
        <v>0</v>
      </c>
      <c r="AY177" s="76"/>
      <c r="AZ177" s="76"/>
      <c r="BA177" s="76" t="b">
        <v>0</v>
      </c>
      <c r="BB177" s="76" t="b">
        <v>0</v>
      </c>
      <c r="BC177" s="76" t="b">
        <v>1</v>
      </c>
      <c r="BD177" s="76" t="b">
        <v>0</v>
      </c>
      <c r="BE177" s="76" t="b">
        <v>0</v>
      </c>
      <c r="BF177" s="76" t="b">
        <v>0</v>
      </c>
      <c r="BG177" s="76" t="b">
        <v>0</v>
      </c>
      <c r="BH177" s="83" t="str">
        <f>HYPERLINK("https://pbs.twimg.com/profile_banners/424440280/1544114594")</f>
        <v>https://pbs.twimg.com/profile_banners/424440280/1544114594</v>
      </c>
      <c r="BI177" s="76"/>
      <c r="BJ177" s="76" t="s">
        <v>7245</v>
      </c>
      <c r="BK177" s="76" t="b">
        <v>0</v>
      </c>
      <c r="BL177" s="76"/>
      <c r="BM177" s="76" t="s">
        <v>66</v>
      </c>
      <c r="BN177" s="76" t="s">
        <v>7247</v>
      </c>
      <c r="BO177" s="83" t="str">
        <f>HYPERLINK("https://twitter.com/azizbasry")</f>
        <v>https://twitter.com/azizbasry</v>
      </c>
      <c r="BP177" s="2"/>
    </row>
    <row r="178" spans="1:68" x14ac:dyDescent="0.25">
      <c r="A178" s="62" t="s">
        <v>392</v>
      </c>
      <c r="B178" s="63"/>
      <c r="C178" s="63"/>
      <c r="D178" s="64"/>
      <c r="E178" s="66"/>
      <c r="F178" s="102" t="str">
        <f>HYPERLINK("https://pbs.twimg.com/profile_images/1624633729/20_Septiembre_2011_012_normal.jpg")</f>
        <v>https://pbs.twimg.com/profile_images/1624633729/20_Septiembre_2011_012_normal.jpg</v>
      </c>
      <c r="G178" s="63"/>
      <c r="H178" s="67"/>
      <c r="I178" s="68"/>
      <c r="J178" s="68"/>
      <c r="K178" s="67" t="s">
        <v>7422</v>
      </c>
      <c r="L178" s="71"/>
      <c r="M178" s="72"/>
      <c r="N178" s="72"/>
      <c r="O178" s="73"/>
      <c r="P178" s="74"/>
      <c r="Q178" s="74"/>
      <c r="R178" s="86"/>
      <c r="S178" s="86"/>
      <c r="T178" s="86"/>
      <c r="U178" s="86"/>
      <c r="V178" s="48"/>
      <c r="W178" s="48"/>
      <c r="X178" s="48"/>
      <c r="Y178" s="48"/>
      <c r="Z178" s="47"/>
      <c r="AA178" s="69">
        <v>178</v>
      </c>
      <c r="AB178" s="69"/>
      <c r="AC178" s="70"/>
      <c r="AD178" s="76" t="s">
        <v>6305</v>
      </c>
      <c r="AE178" s="81" t="s">
        <v>6514</v>
      </c>
      <c r="AF178" s="76">
        <v>521</v>
      </c>
      <c r="AG178" s="76">
        <v>2333</v>
      </c>
      <c r="AH178" s="76">
        <v>17141</v>
      </c>
      <c r="AI178" s="76">
        <v>20</v>
      </c>
      <c r="AJ178" s="76">
        <v>5434</v>
      </c>
      <c r="AK178" s="76">
        <v>5088</v>
      </c>
      <c r="AL178" s="76" t="b">
        <v>0</v>
      </c>
      <c r="AM178" s="78">
        <v>40595.855069444442</v>
      </c>
      <c r="AN178" s="76" t="s">
        <v>6621</v>
      </c>
      <c r="AO178" s="76" t="s">
        <v>6827</v>
      </c>
      <c r="AP178" s="83" t="str">
        <f>HYPERLINK("https://t.co/0kq19FdUJm")</f>
        <v>https://t.co/0kq19FdUJm</v>
      </c>
      <c r="AQ178" s="83" t="str">
        <f>HYPERLINK("https://bit.ly/3Z1kH01")</f>
        <v>https://bit.ly/3Z1kH01</v>
      </c>
      <c r="AR178" s="76" t="s">
        <v>7096</v>
      </c>
      <c r="AS178" s="76" t="s">
        <v>7208</v>
      </c>
      <c r="AT178" s="76" t="s">
        <v>7215</v>
      </c>
      <c r="AU178" s="76" t="s">
        <v>7232</v>
      </c>
      <c r="AV178" s="76"/>
      <c r="AW178" s="83" t="str">
        <f>HYPERLINK("https://t.co/0kq19FdUJm")</f>
        <v>https://t.co/0kq19FdUJm</v>
      </c>
      <c r="AX178" s="76" t="b">
        <v>0</v>
      </c>
      <c r="AY178" s="76"/>
      <c r="AZ178" s="76"/>
      <c r="BA178" s="76" t="b">
        <v>0</v>
      </c>
      <c r="BB178" s="76" t="b">
        <v>1</v>
      </c>
      <c r="BC178" s="76" t="b">
        <v>0</v>
      </c>
      <c r="BD178" s="76" t="b">
        <v>0</v>
      </c>
      <c r="BE178" s="76" t="b">
        <v>1</v>
      </c>
      <c r="BF178" s="76" t="b">
        <v>0</v>
      </c>
      <c r="BG178" s="76" t="b">
        <v>0</v>
      </c>
      <c r="BH178" s="83" t="str">
        <f>HYPERLINK("https://pbs.twimg.com/profile_banners/255663142/1403245084")</f>
        <v>https://pbs.twimg.com/profile_banners/255663142/1403245084</v>
      </c>
      <c r="BI178" s="76"/>
      <c r="BJ178" s="76" t="s">
        <v>7245</v>
      </c>
      <c r="BK178" s="76" t="b">
        <v>0</v>
      </c>
      <c r="BL178" s="76"/>
      <c r="BM178" s="76" t="s">
        <v>66</v>
      </c>
      <c r="BN178" s="76" t="s">
        <v>7247</v>
      </c>
      <c r="BO178" s="83" t="str">
        <f>HYPERLINK("https://twitter.com/roseperiodista")</f>
        <v>https://twitter.com/roseperiodista</v>
      </c>
      <c r="BP178" s="2"/>
    </row>
    <row r="179" spans="1:68" x14ac:dyDescent="0.25">
      <c r="A179" s="62" t="s">
        <v>393</v>
      </c>
      <c r="B179" s="63"/>
      <c r="C179" s="63"/>
      <c r="D179" s="64"/>
      <c r="E179" s="66"/>
      <c r="F179" s="102" t="str">
        <f>HYPERLINK("https://pbs.twimg.com/profile_images/1552518020093710336/W5vft5yM_normal.jpg")</f>
        <v>https://pbs.twimg.com/profile_images/1552518020093710336/W5vft5yM_normal.jpg</v>
      </c>
      <c r="G179" s="63"/>
      <c r="H179" s="67"/>
      <c r="I179" s="68"/>
      <c r="J179" s="68"/>
      <c r="K179" s="67" t="s">
        <v>7423</v>
      </c>
      <c r="L179" s="71"/>
      <c r="M179" s="72"/>
      <c r="N179" s="72"/>
      <c r="O179" s="73"/>
      <c r="P179" s="74"/>
      <c r="Q179" s="74"/>
      <c r="R179" s="86"/>
      <c r="S179" s="86"/>
      <c r="T179" s="86"/>
      <c r="U179" s="86"/>
      <c r="V179" s="48"/>
      <c r="W179" s="48"/>
      <c r="X179" s="48"/>
      <c r="Y179" s="48"/>
      <c r="Z179" s="47"/>
      <c r="AA179" s="69">
        <v>179</v>
      </c>
      <c r="AB179" s="69"/>
      <c r="AC179" s="70"/>
      <c r="AD179" s="76" t="s">
        <v>6306</v>
      </c>
      <c r="AE179" s="81" t="s">
        <v>5977</v>
      </c>
      <c r="AF179" s="76">
        <v>40</v>
      </c>
      <c r="AG179" s="76">
        <v>4</v>
      </c>
      <c r="AH179" s="76">
        <v>1240</v>
      </c>
      <c r="AI179" s="76">
        <v>1</v>
      </c>
      <c r="AJ179" s="76">
        <v>0</v>
      </c>
      <c r="AK179" s="76">
        <v>905</v>
      </c>
      <c r="AL179" s="76" t="b">
        <v>0</v>
      </c>
      <c r="AM179" s="78">
        <v>44740.350543981483</v>
      </c>
      <c r="AN179" s="76" t="s">
        <v>6622</v>
      </c>
      <c r="AO179" s="76" t="s">
        <v>6828</v>
      </c>
      <c r="AP179" s="83" t="str">
        <f>HYPERLINK("https://t.co/ZuUtkphUD3")</f>
        <v>https://t.co/ZuUtkphUD3</v>
      </c>
      <c r="AQ179" s="83" t="str">
        <f>HYPERLINK("https://ciowomenmagazine.com/")</f>
        <v>https://ciowomenmagazine.com/</v>
      </c>
      <c r="AR179" s="76" t="s">
        <v>2160</v>
      </c>
      <c r="AS179" s="76"/>
      <c r="AT179" s="76"/>
      <c r="AU179" s="76"/>
      <c r="AV179" s="76"/>
      <c r="AW179" s="83" t="str">
        <f>HYPERLINK("https://t.co/ZuUtkphUD3")</f>
        <v>https://t.co/ZuUtkphUD3</v>
      </c>
      <c r="AX179" s="76" t="b">
        <v>0</v>
      </c>
      <c r="AY179" s="76"/>
      <c r="AZ179" s="76"/>
      <c r="BA179" s="76" t="b">
        <v>0</v>
      </c>
      <c r="BB179" s="76" t="b">
        <v>1</v>
      </c>
      <c r="BC179" s="76" t="b">
        <v>1</v>
      </c>
      <c r="BD179" s="76" t="b">
        <v>0</v>
      </c>
      <c r="BE179" s="76" t="b">
        <v>0</v>
      </c>
      <c r="BF179" s="76" t="b">
        <v>0</v>
      </c>
      <c r="BG179" s="76" t="b">
        <v>0</v>
      </c>
      <c r="BH179" s="83" t="str">
        <f>HYPERLINK("https://pbs.twimg.com/profile_banners/1541699053112938496/1658984092")</f>
        <v>https://pbs.twimg.com/profile_banners/1541699053112938496/1658984092</v>
      </c>
      <c r="BI179" s="76"/>
      <c r="BJ179" s="76" t="s">
        <v>7245</v>
      </c>
      <c r="BK179" s="76" t="b">
        <v>0</v>
      </c>
      <c r="BL179" s="76"/>
      <c r="BM179" s="76" t="s">
        <v>66</v>
      </c>
      <c r="BN179" s="76" t="s">
        <v>7247</v>
      </c>
      <c r="BO179" s="83" t="str">
        <f>HYPERLINK("https://twitter.com/ciowomenmag")</f>
        <v>https://twitter.com/ciowomenmag</v>
      </c>
      <c r="BP179" s="2"/>
    </row>
    <row r="180" spans="1:68" x14ac:dyDescent="0.25">
      <c r="A180" s="62" t="s">
        <v>394</v>
      </c>
      <c r="B180" s="63"/>
      <c r="C180" s="63"/>
      <c r="D180" s="64"/>
      <c r="E180" s="66"/>
      <c r="F180" s="102" t="str">
        <f>HYPERLINK("https://pbs.twimg.com/profile_images/1701198792882540544/khO4exie_normal.jpg")</f>
        <v>https://pbs.twimg.com/profile_images/1701198792882540544/khO4exie_normal.jpg</v>
      </c>
      <c r="G180" s="63"/>
      <c r="H180" s="67"/>
      <c r="I180" s="68"/>
      <c r="J180" s="68"/>
      <c r="K180" s="67" t="s">
        <v>7424</v>
      </c>
      <c r="L180" s="71"/>
      <c r="M180" s="72"/>
      <c r="N180" s="72"/>
      <c r="O180" s="73"/>
      <c r="P180" s="74"/>
      <c r="Q180" s="74"/>
      <c r="R180" s="86"/>
      <c r="S180" s="86"/>
      <c r="T180" s="86"/>
      <c r="U180" s="86"/>
      <c r="V180" s="48"/>
      <c r="W180" s="48"/>
      <c r="X180" s="48"/>
      <c r="Y180" s="48"/>
      <c r="Z180" s="47"/>
      <c r="AA180" s="69">
        <v>180</v>
      </c>
      <c r="AB180" s="69"/>
      <c r="AC180" s="70"/>
      <c r="AD180" s="76" t="s">
        <v>6307</v>
      </c>
      <c r="AE180" s="81" t="s">
        <v>5978</v>
      </c>
      <c r="AF180" s="76">
        <v>0</v>
      </c>
      <c r="AG180" s="76">
        <v>1</v>
      </c>
      <c r="AH180" s="76">
        <v>1</v>
      </c>
      <c r="AI180" s="76">
        <v>0</v>
      </c>
      <c r="AJ180" s="76">
        <v>0</v>
      </c>
      <c r="AK180" s="76">
        <v>1</v>
      </c>
      <c r="AL180" s="76" t="b">
        <v>0</v>
      </c>
      <c r="AM180" s="78">
        <v>45180.484988425924</v>
      </c>
      <c r="AN180" s="76"/>
      <c r="AO180" s="76" t="s">
        <v>6829</v>
      </c>
      <c r="AP180" s="83" t="str">
        <f>HYPERLINK("https://t.co/g9iDPdpgN4")</f>
        <v>https://t.co/g9iDPdpgN4</v>
      </c>
      <c r="AQ180" s="83" t="str">
        <f>HYPERLINK("https://linktr.ee/ojovemdesucessos")</f>
        <v>https://linktr.ee/ojovemdesucessos</v>
      </c>
      <c r="AR180" s="76" t="s">
        <v>7097</v>
      </c>
      <c r="AS180" s="76"/>
      <c r="AT180" s="76"/>
      <c r="AU180" s="76"/>
      <c r="AV180" s="76"/>
      <c r="AW180" s="83" t="str">
        <f>HYPERLINK("https://t.co/g9iDPdpgN4")</f>
        <v>https://t.co/g9iDPdpgN4</v>
      </c>
      <c r="AX180" s="76" t="b">
        <v>0</v>
      </c>
      <c r="AY180" s="76"/>
      <c r="AZ180" s="76"/>
      <c r="BA180" s="76" t="b">
        <v>0</v>
      </c>
      <c r="BB180" s="76" t="b">
        <v>1</v>
      </c>
      <c r="BC180" s="76" t="b">
        <v>1</v>
      </c>
      <c r="BD180" s="76" t="b">
        <v>0</v>
      </c>
      <c r="BE180" s="76" t="b">
        <v>0</v>
      </c>
      <c r="BF180" s="76" t="b">
        <v>0</v>
      </c>
      <c r="BG180" s="76" t="b">
        <v>0</v>
      </c>
      <c r="BH180" s="83" t="str">
        <f>HYPERLINK("https://pbs.twimg.com/profile_banners/1701198459557044224/1694432618")</f>
        <v>https://pbs.twimg.com/profile_banners/1701198459557044224/1694432618</v>
      </c>
      <c r="BI180" s="76"/>
      <c r="BJ180" s="76" t="s">
        <v>7245</v>
      </c>
      <c r="BK180" s="76" t="b">
        <v>0</v>
      </c>
      <c r="BL180" s="76"/>
      <c r="BM180" s="76" t="s">
        <v>66</v>
      </c>
      <c r="BN180" s="76" t="s">
        <v>7247</v>
      </c>
      <c r="BO180" s="83" t="str">
        <f>HYPERLINK("https://twitter.com/organico27643")</f>
        <v>https://twitter.com/organico27643</v>
      </c>
      <c r="BP180" s="2"/>
    </row>
    <row r="181" spans="1:68" x14ac:dyDescent="0.25">
      <c r="A181" s="62" t="s">
        <v>395</v>
      </c>
      <c r="B181" s="63"/>
      <c r="C181" s="63"/>
      <c r="D181" s="64"/>
      <c r="E181" s="66"/>
      <c r="F181" s="102" t="str">
        <f>HYPERLINK("https://pbs.twimg.com/profile_images/2226889686/Ita_Discursando_Bovespa_normal.JPG")</f>
        <v>https://pbs.twimg.com/profile_images/2226889686/Ita_Discursando_Bovespa_normal.JPG</v>
      </c>
      <c r="G181" s="63"/>
      <c r="H181" s="67"/>
      <c r="I181" s="68"/>
      <c r="J181" s="68"/>
      <c r="K181" s="67" t="s">
        <v>7425</v>
      </c>
      <c r="L181" s="71"/>
      <c r="M181" s="72"/>
      <c r="N181" s="72"/>
      <c r="O181" s="73"/>
      <c r="P181" s="74"/>
      <c r="Q181" s="74"/>
      <c r="R181" s="86"/>
      <c r="S181" s="86"/>
      <c r="T181" s="86"/>
      <c r="U181" s="86"/>
      <c r="V181" s="48"/>
      <c r="W181" s="48"/>
      <c r="X181" s="48"/>
      <c r="Y181" s="48"/>
      <c r="Z181" s="47"/>
      <c r="AA181" s="69">
        <v>181</v>
      </c>
      <c r="AB181" s="69"/>
      <c r="AC181" s="70"/>
      <c r="AD181" s="76" t="s">
        <v>6308</v>
      </c>
      <c r="AE181" s="81" t="s">
        <v>6515</v>
      </c>
      <c r="AF181" s="76">
        <v>362</v>
      </c>
      <c r="AG181" s="76">
        <v>2465</v>
      </c>
      <c r="AH181" s="76">
        <v>1746</v>
      </c>
      <c r="AI181" s="76">
        <v>1</v>
      </c>
      <c r="AJ181" s="76">
        <v>220</v>
      </c>
      <c r="AK181" s="76">
        <v>574</v>
      </c>
      <c r="AL181" s="76" t="b">
        <v>0</v>
      </c>
      <c r="AM181" s="78">
        <v>41046.772650462961</v>
      </c>
      <c r="AN181" s="76"/>
      <c r="AO181" s="76" t="s">
        <v>6830</v>
      </c>
      <c r="AP181" s="76"/>
      <c r="AQ181" s="76"/>
      <c r="AR181" s="76"/>
      <c r="AS181" s="83" t="str">
        <f>HYPERLINK("https://t.co/LgrA3FX514")</f>
        <v>https://t.co/LgrA3FX514</v>
      </c>
      <c r="AT181" s="83" t="str">
        <f>HYPERLINK("https://www.instagram.com/horadotrader/")</f>
        <v>https://www.instagram.com/horadotrader/</v>
      </c>
      <c r="AU181" s="76" t="s">
        <v>7233</v>
      </c>
      <c r="AV181" s="76"/>
      <c r="AW181" s="76"/>
      <c r="AX181" s="76" t="b">
        <v>0</v>
      </c>
      <c r="AY181" s="76"/>
      <c r="AZ181" s="76"/>
      <c r="BA181" s="76" t="b">
        <v>0</v>
      </c>
      <c r="BB181" s="76" t="b">
        <v>1</v>
      </c>
      <c r="BC181" s="76" t="b">
        <v>1</v>
      </c>
      <c r="BD181" s="76" t="b">
        <v>0</v>
      </c>
      <c r="BE181" s="76" t="b">
        <v>0</v>
      </c>
      <c r="BF181" s="76" t="b">
        <v>0</v>
      </c>
      <c r="BG181" s="76" t="b">
        <v>0</v>
      </c>
      <c r="BH181" s="83" t="str">
        <f>HYPERLINK("https://pbs.twimg.com/profile_banners/583023355/1586439847")</f>
        <v>https://pbs.twimg.com/profile_banners/583023355/1586439847</v>
      </c>
      <c r="BI181" s="76"/>
      <c r="BJ181" s="76" t="s">
        <v>7245</v>
      </c>
      <c r="BK181" s="76" t="b">
        <v>0</v>
      </c>
      <c r="BL181" s="76"/>
      <c r="BM181" s="76" t="s">
        <v>66</v>
      </c>
      <c r="BN181" s="76" t="s">
        <v>7247</v>
      </c>
      <c r="BO181" s="83" t="str">
        <f>HYPERLINK("https://twitter.com/itaboraisantos")</f>
        <v>https://twitter.com/itaboraisantos</v>
      </c>
      <c r="BP181" s="2"/>
    </row>
    <row r="182" spans="1:68" x14ac:dyDescent="0.25">
      <c r="A182" s="62" t="s">
        <v>396</v>
      </c>
      <c r="B182" s="63"/>
      <c r="C182" s="63"/>
      <c r="D182" s="64"/>
      <c r="E182" s="66"/>
      <c r="F182" s="102" t="str">
        <f>HYPERLINK("https://pbs.twimg.com/profile_images/1578720730677657602/1Wdsv0wR_normal.jpg")</f>
        <v>https://pbs.twimg.com/profile_images/1578720730677657602/1Wdsv0wR_normal.jpg</v>
      </c>
      <c r="G182" s="63"/>
      <c r="H182" s="67"/>
      <c r="I182" s="68"/>
      <c r="J182" s="68"/>
      <c r="K182" s="67" t="s">
        <v>7426</v>
      </c>
      <c r="L182" s="71"/>
      <c r="M182" s="72"/>
      <c r="N182" s="72"/>
      <c r="O182" s="73"/>
      <c r="P182" s="74"/>
      <c r="Q182" s="74"/>
      <c r="R182" s="86"/>
      <c r="S182" s="86"/>
      <c r="T182" s="86"/>
      <c r="U182" s="86"/>
      <c r="V182" s="48"/>
      <c r="W182" s="48"/>
      <c r="X182" s="48"/>
      <c r="Y182" s="48"/>
      <c r="Z182" s="47"/>
      <c r="AA182" s="69">
        <v>182</v>
      </c>
      <c r="AB182" s="69"/>
      <c r="AC182" s="70"/>
      <c r="AD182" s="76" t="s">
        <v>6309</v>
      </c>
      <c r="AE182" s="81" t="s">
        <v>5593</v>
      </c>
      <c r="AF182" s="76">
        <v>239</v>
      </c>
      <c r="AG182" s="76">
        <v>1286</v>
      </c>
      <c r="AH182" s="76">
        <v>537</v>
      </c>
      <c r="AI182" s="76">
        <v>0</v>
      </c>
      <c r="AJ182" s="76">
        <v>1305</v>
      </c>
      <c r="AK182" s="76">
        <v>62</v>
      </c>
      <c r="AL182" s="76" t="b">
        <v>0</v>
      </c>
      <c r="AM182" s="78">
        <v>44842.478842592594</v>
      </c>
      <c r="AN182" s="76"/>
      <c r="AO182" s="76" t="s">
        <v>6831</v>
      </c>
      <c r="AP182" s="76"/>
      <c r="AQ182" s="76"/>
      <c r="AR182" s="76"/>
      <c r="AS182" s="76"/>
      <c r="AT182" s="76"/>
      <c r="AU182" s="76"/>
      <c r="AV182" s="76">
        <v>1.5973023333017201E+18</v>
      </c>
      <c r="AW182" s="76"/>
      <c r="AX182" s="76" t="b">
        <v>0</v>
      </c>
      <c r="AY182" s="76"/>
      <c r="AZ182" s="76"/>
      <c r="BA182" s="76" t="b">
        <v>0</v>
      </c>
      <c r="BB182" s="76" t="b">
        <v>1</v>
      </c>
      <c r="BC182" s="76" t="b">
        <v>1</v>
      </c>
      <c r="BD182" s="76" t="b">
        <v>0</v>
      </c>
      <c r="BE182" s="76" t="b">
        <v>0</v>
      </c>
      <c r="BF182" s="76" t="b">
        <v>0</v>
      </c>
      <c r="BG182" s="76" t="b">
        <v>0</v>
      </c>
      <c r="BH182" s="83" t="str">
        <f>HYPERLINK("https://pbs.twimg.com/profile_banners/1578709029899145216/1665231331")</f>
        <v>https://pbs.twimg.com/profile_banners/1578709029899145216/1665231331</v>
      </c>
      <c r="BI182" s="76"/>
      <c r="BJ182" s="76" t="s">
        <v>7245</v>
      </c>
      <c r="BK182" s="76" t="b">
        <v>0</v>
      </c>
      <c r="BL182" s="76"/>
      <c r="BM182" s="76" t="s">
        <v>66</v>
      </c>
      <c r="BN182" s="76" t="s">
        <v>7247</v>
      </c>
      <c r="BO182" s="83" t="str">
        <f>HYPERLINK("https://twitter.com/blackhatpt")</f>
        <v>https://twitter.com/blackhatpt</v>
      </c>
      <c r="BP182" s="2"/>
    </row>
    <row r="183" spans="1:68" x14ac:dyDescent="0.25">
      <c r="A183" s="62" t="s">
        <v>397</v>
      </c>
      <c r="B183" s="63"/>
      <c r="C183" s="63"/>
      <c r="D183" s="64"/>
      <c r="E183" s="66"/>
      <c r="F183" s="102" t="str">
        <f>HYPERLINK("https://pbs.twimg.com/profile_images/1678426241513267200/FEYur0I-_normal.jpg")</f>
        <v>https://pbs.twimg.com/profile_images/1678426241513267200/FEYur0I-_normal.jpg</v>
      </c>
      <c r="G183" s="63"/>
      <c r="H183" s="67"/>
      <c r="I183" s="68"/>
      <c r="J183" s="68"/>
      <c r="K183" s="67" t="s">
        <v>7427</v>
      </c>
      <c r="L183" s="71"/>
      <c r="M183" s="72"/>
      <c r="N183" s="72"/>
      <c r="O183" s="73"/>
      <c r="P183" s="74"/>
      <c r="Q183" s="74"/>
      <c r="R183" s="86"/>
      <c r="S183" s="86"/>
      <c r="T183" s="86"/>
      <c r="U183" s="86"/>
      <c r="V183" s="48"/>
      <c r="W183" s="48"/>
      <c r="X183" s="48"/>
      <c r="Y183" s="48"/>
      <c r="Z183" s="47"/>
      <c r="AA183" s="69">
        <v>183</v>
      </c>
      <c r="AB183" s="69"/>
      <c r="AC183" s="70"/>
      <c r="AD183" s="76" t="s">
        <v>6310</v>
      </c>
      <c r="AE183" s="81" t="s">
        <v>5979</v>
      </c>
      <c r="AF183" s="76">
        <v>124</v>
      </c>
      <c r="AG183" s="76">
        <v>51</v>
      </c>
      <c r="AH183" s="76">
        <v>1144</v>
      </c>
      <c r="AI183" s="76">
        <v>1</v>
      </c>
      <c r="AJ183" s="76">
        <v>202</v>
      </c>
      <c r="AK183" s="76">
        <v>11</v>
      </c>
      <c r="AL183" s="76" t="b">
        <v>0</v>
      </c>
      <c r="AM183" s="78">
        <v>45117.643946759257</v>
      </c>
      <c r="AN183" s="76"/>
      <c r="AO183" s="76" t="s">
        <v>6832</v>
      </c>
      <c r="AP183" s="76"/>
      <c r="AQ183" s="76"/>
      <c r="AR183" s="76"/>
      <c r="AS183" s="76"/>
      <c r="AT183" s="76"/>
      <c r="AU183" s="76"/>
      <c r="AV183" s="76">
        <v>1.6784611559272599E+18</v>
      </c>
      <c r="AW183" s="76"/>
      <c r="AX183" s="76" t="b">
        <v>0</v>
      </c>
      <c r="AY183" s="76"/>
      <c r="AZ183" s="76"/>
      <c r="BA183" s="76" t="b">
        <v>0</v>
      </c>
      <c r="BB183" s="76" t="b">
        <v>1</v>
      </c>
      <c r="BC183" s="76" t="b">
        <v>1</v>
      </c>
      <c r="BD183" s="76" t="b">
        <v>0</v>
      </c>
      <c r="BE183" s="76" t="b">
        <v>0</v>
      </c>
      <c r="BF183" s="76" t="b">
        <v>0</v>
      </c>
      <c r="BG183" s="76" t="b">
        <v>0</v>
      </c>
      <c r="BH183" s="83" t="str">
        <f>HYPERLINK("https://pbs.twimg.com/profile_banners/1678425571288571904/1689003032")</f>
        <v>https://pbs.twimg.com/profile_banners/1678425571288571904/1689003032</v>
      </c>
      <c r="BI183" s="76"/>
      <c r="BJ183" s="76" t="s">
        <v>7245</v>
      </c>
      <c r="BK183" s="76" t="b">
        <v>0</v>
      </c>
      <c r="BL183" s="76"/>
      <c r="BM183" s="76" t="s">
        <v>66</v>
      </c>
      <c r="BN183" s="76" t="s">
        <v>7247</v>
      </c>
      <c r="BO183" s="83" t="str">
        <f>HYPERLINK("https://twitter.com/tomeacao")</f>
        <v>https://twitter.com/tomeacao</v>
      </c>
      <c r="BP183" s="2"/>
    </row>
    <row r="184" spans="1:68" x14ac:dyDescent="0.25">
      <c r="A184" s="62" t="s">
        <v>571</v>
      </c>
      <c r="B184" s="63"/>
      <c r="C184" s="63"/>
      <c r="D184" s="64"/>
      <c r="E184" s="66"/>
      <c r="F184" s="102" t="str">
        <f>HYPERLINK("https://pbs.twimg.com/profile_images/1685107923645521920/70UFDO1v_normal.jpg")</f>
        <v>https://pbs.twimg.com/profile_images/1685107923645521920/70UFDO1v_normal.jpg</v>
      </c>
      <c r="G184" s="63"/>
      <c r="H184" s="67"/>
      <c r="I184" s="68"/>
      <c r="J184" s="68"/>
      <c r="K184" s="67" t="s">
        <v>7428</v>
      </c>
      <c r="L184" s="71"/>
      <c r="M184" s="72"/>
      <c r="N184" s="72"/>
      <c r="O184" s="73"/>
      <c r="P184" s="74"/>
      <c r="Q184" s="74"/>
      <c r="R184" s="86"/>
      <c r="S184" s="86"/>
      <c r="T184" s="86"/>
      <c r="U184" s="86"/>
      <c r="V184" s="48"/>
      <c r="W184" s="48"/>
      <c r="X184" s="48"/>
      <c r="Y184" s="48"/>
      <c r="Z184" s="47"/>
      <c r="AA184" s="69">
        <v>184</v>
      </c>
      <c r="AB184" s="69"/>
      <c r="AC184" s="70"/>
      <c r="AD184" s="76" t="s">
        <v>6311</v>
      </c>
      <c r="AE184" s="81" t="s">
        <v>5594</v>
      </c>
      <c r="AF184" s="76">
        <v>105742</v>
      </c>
      <c r="AG184" s="76">
        <v>401</v>
      </c>
      <c r="AH184" s="76">
        <v>17172</v>
      </c>
      <c r="AI184" s="76">
        <v>685</v>
      </c>
      <c r="AJ184" s="76">
        <v>17679</v>
      </c>
      <c r="AK184" s="76">
        <v>653</v>
      </c>
      <c r="AL184" s="76" t="b">
        <v>0</v>
      </c>
      <c r="AM184" s="78">
        <v>43777.874618055554</v>
      </c>
      <c r="AN184" s="76"/>
      <c r="AO184" s="76" t="s">
        <v>6833</v>
      </c>
      <c r="AP184" s="83" t="str">
        <f>HYPERLINK("https://t.co/eG8HRI5dXG")</f>
        <v>https://t.co/eG8HRI5dXG</v>
      </c>
      <c r="AQ184" s="83" t="str">
        <f>HYPERLINK("https://lp.suno.com.br/cl/quiz-investidor/?utm_source=twitter.tadewald&amp;utm_medium=bio&amp;utm_campaign=R")</f>
        <v>https://lp.suno.com.br/cl/quiz-investidor/?utm_source=twitter.tadewald&amp;utm_medium=bio&amp;utm_campaign=R</v>
      </c>
      <c r="AR184" s="76" t="s">
        <v>7098</v>
      </c>
      <c r="AS184" s="76"/>
      <c r="AT184" s="76"/>
      <c r="AU184" s="76"/>
      <c r="AV184" s="76">
        <v>1.7041996801107699E+18</v>
      </c>
      <c r="AW184" s="83" t="str">
        <f>HYPERLINK("https://t.co/eG8HRI5dXG")</f>
        <v>https://t.co/eG8HRI5dXG</v>
      </c>
      <c r="AX184" s="76" t="b">
        <v>1</v>
      </c>
      <c r="AY184" s="76"/>
      <c r="AZ184" s="76"/>
      <c r="BA184" s="76" t="b">
        <v>0</v>
      </c>
      <c r="BB184" s="76" t="b">
        <v>0</v>
      </c>
      <c r="BC184" s="76" t="b">
        <v>1</v>
      </c>
      <c r="BD184" s="76" t="b">
        <v>0</v>
      </c>
      <c r="BE184" s="76" t="b">
        <v>1</v>
      </c>
      <c r="BF184" s="76" t="b">
        <v>0</v>
      </c>
      <c r="BG184" s="76" t="b">
        <v>0</v>
      </c>
      <c r="BH184" s="83" t="str">
        <f>HYPERLINK("https://pbs.twimg.com/profile_banners/1192909456075632640/1687952573")</f>
        <v>https://pbs.twimg.com/profile_banners/1192909456075632640/1687952573</v>
      </c>
      <c r="BI184" s="76"/>
      <c r="BJ184" s="76" t="s">
        <v>7245</v>
      </c>
      <c r="BK184" s="76" t="b">
        <v>0</v>
      </c>
      <c r="BL184" s="76"/>
      <c r="BM184" s="76" t="s">
        <v>65</v>
      </c>
      <c r="BN184" s="76" t="s">
        <v>7247</v>
      </c>
      <c r="BO184" s="83" t="str">
        <f>HYPERLINK("https://twitter.com/felipetadewald")</f>
        <v>https://twitter.com/felipetadewald</v>
      </c>
      <c r="BP184" s="2"/>
    </row>
    <row r="185" spans="1:68" x14ac:dyDescent="0.25">
      <c r="A185" s="62" t="s">
        <v>398</v>
      </c>
      <c r="B185" s="63"/>
      <c r="C185" s="63"/>
      <c r="D185" s="64"/>
      <c r="E185" s="66"/>
      <c r="F185" s="102" t="str">
        <f>HYPERLINK("https://pbs.twimg.com/profile_images/1675132868509548545/mmUaCGuZ_normal.jpg")</f>
        <v>https://pbs.twimg.com/profile_images/1675132868509548545/mmUaCGuZ_normal.jpg</v>
      </c>
      <c r="G185" s="63"/>
      <c r="H185" s="67"/>
      <c r="I185" s="68"/>
      <c r="J185" s="68"/>
      <c r="K185" s="67" t="s">
        <v>7429</v>
      </c>
      <c r="L185" s="71"/>
      <c r="M185" s="72"/>
      <c r="N185" s="72"/>
      <c r="O185" s="73"/>
      <c r="P185" s="74"/>
      <c r="Q185" s="74"/>
      <c r="R185" s="86"/>
      <c r="S185" s="86"/>
      <c r="T185" s="86"/>
      <c r="U185" s="86"/>
      <c r="V185" s="48"/>
      <c r="W185" s="48"/>
      <c r="X185" s="48"/>
      <c r="Y185" s="48"/>
      <c r="Z185" s="47"/>
      <c r="AA185" s="69">
        <v>185</v>
      </c>
      <c r="AB185" s="69"/>
      <c r="AC185" s="70"/>
      <c r="AD185" s="76" t="s">
        <v>6312</v>
      </c>
      <c r="AE185" s="81" t="s">
        <v>5980</v>
      </c>
      <c r="AF185" s="76">
        <v>3</v>
      </c>
      <c r="AG185" s="76">
        <v>73</v>
      </c>
      <c r="AH185" s="76">
        <v>198</v>
      </c>
      <c r="AI185" s="76">
        <v>0</v>
      </c>
      <c r="AJ185" s="76">
        <v>35</v>
      </c>
      <c r="AK185" s="76">
        <v>197</v>
      </c>
      <c r="AL185" s="76" t="b">
        <v>0</v>
      </c>
      <c r="AM185" s="78">
        <v>45108.551122685189</v>
      </c>
      <c r="AN185" s="76" t="s">
        <v>3794</v>
      </c>
      <c r="AO185" s="76" t="s">
        <v>6834</v>
      </c>
      <c r="AP185" s="83" t="str">
        <f>HYPERLINK("https://t.co/Pkpd07wydM")</f>
        <v>https://t.co/Pkpd07wydM</v>
      </c>
      <c r="AQ185" s="83" t="str">
        <f>HYPERLINK("https://www.clinicawashingtonamancio.com/")</f>
        <v>https://www.clinicawashingtonamancio.com/</v>
      </c>
      <c r="AR185" s="76" t="s">
        <v>7099</v>
      </c>
      <c r="AS185" s="76"/>
      <c r="AT185" s="76"/>
      <c r="AU185" s="76"/>
      <c r="AV185" s="76"/>
      <c r="AW185" s="83" t="str">
        <f>HYPERLINK("https://t.co/Pkpd07wydM")</f>
        <v>https://t.co/Pkpd07wydM</v>
      </c>
      <c r="AX185" s="76" t="b">
        <v>0</v>
      </c>
      <c r="AY185" s="76"/>
      <c r="AZ185" s="76"/>
      <c r="BA185" s="76" t="b">
        <v>0</v>
      </c>
      <c r="BB185" s="76" t="b">
        <v>1</v>
      </c>
      <c r="BC185" s="76" t="b">
        <v>1</v>
      </c>
      <c r="BD185" s="76" t="b">
        <v>0</v>
      </c>
      <c r="BE185" s="76" t="b">
        <v>0</v>
      </c>
      <c r="BF185" s="76" t="b">
        <v>0</v>
      </c>
      <c r="BG185" s="76" t="b">
        <v>0</v>
      </c>
      <c r="BH185" s="83" t="str">
        <f>HYPERLINK("https://pbs.twimg.com/profile_banners/1675130387658407938/1688217931")</f>
        <v>https://pbs.twimg.com/profile_banners/1675130387658407938/1688217931</v>
      </c>
      <c r="BI185" s="76"/>
      <c r="BJ185" s="76" t="s">
        <v>7245</v>
      </c>
      <c r="BK185" s="76" t="b">
        <v>0</v>
      </c>
      <c r="BL185" s="76"/>
      <c r="BM185" s="76" t="s">
        <v>66</v>
      </c>
      <c r="BN185" s="76" t="s">
        <v>7247</v>
      </c>
      <c r="BO185" s="83" t="str">
        <f>HYPERLINK("https://twitter.com/marcia23403")</f>
        <v>https://twitter.com/marcia23403</v>
      </c>
      <c r="BP185" s="2"/>
    </row>
    <row r="186" spans="1:68" x14ac:dyDescent="0.25">
      <c r="A186" s="62" t="s">
        <v>399</v>
      </c>
      <c r="B186" s="63"/>
      <c r="C186" s="63"/>
      <c r="D186" s="64"/>
      <c r="E186" s="66"/>
      <c r="F186" s="102" t="str">
        <f>HYPERLINK("https://pbs.twimg.com/profile_images/1686675435768193024/jZjG0seg_normal.jpg")</f>
        <v>https://pbs.twimg.com/profile_images/1686675435768193024/jZjG0seg_normal.jpg</v>
      </c>
      <c r="G186" s="63"/>
      <c r="H186" s="67"/>
      <c r="I186" s="68"/>
      <c r="J186" s="68"/>
      <c r="K186" s="67" t="s">
        <v>7430</v>
      </c>
      <c r="L186" s="71"/>
      <c r="M186" s="72"/>
      <c r="N186" s="72"/>
      <c r="O186" s="73"/>
      <c r="P186" s="74"/>
      <c r="Q186" s="74"/>
      <c r="R186" s="86"/>
      <c r="S186" s="86"/>
      <c r="T186" s="86"/>
      <c r="U186" s="86"/>
      <c r="V186" s="48"/>
      <c r="W186" s="48"/>
      <c r="X186" s="48"/>
      <c r="Y186" s="48"/>
      <c r="Z186" s="47"/>
      <c r="AA186" s="69">
        <v>186</v>
      </c>
      <c r="AB186" s="69"/>
      <c r="AC186" s="70"/>
      <c r="AD186" s="76" t="s">
        <v>6313</v>
      </c>
      <c r="AE186" s="81" t="s">
        <v>5981</v>
      </c>
      <c r="AF186" s="76">
        <v>4</v>
      </c>
      <c r="AG186" s="76">
        <v>35</v>
      </c>
      <c r="AH186" s="76">
        <v>5</v>
      </c>
      <c r="AI186" s="76">
        <v>0</v>
      </c>
      <c r="AJ186" s="76">
        <v>1</v>
      </c>
      <c r="AK186" s="76">
        <v>5</v>
      </c>
      <c r="AL186" s="76" t="b">
        <v>0</v>
      </c>
      <c r="AM186" s="78">
        <v>45139.093541666669</v>
      </c>
      <c r="AN186" s="76"/>
      <c r="AO186" s="76" t="s">
        <v>6835</v>
      </c>
      <c r="AP186" s="83" t="str">
        <f>HYPERLINK("https://t.co/hchpZV48gP")</f>
        <v>https://t.co/hchpZV48gP</v>
      </c>
      <c r="AQ186" s="83" t="str">
        <f>HYPERLINK("https://bit.ly/vendaem2dias01")</f>
        <v>https://bit.ly/vendaem2dias01</v>
      </c>
      <c r="AR186" s="76" t="s">
        <v>7100</v>
      </c>
      <c r="AS186" s="76"/>
      <c r="AT186" s="76"/>
      <c r="AU186" s="76"/>
      <c r="AV186" s="76"/>
      <c r="AW186" s="83" t="str">
        <f>HYPERLINK("https://t.co/hchpZV48gP")</f>
        <v>https://t.co/hchpZV48gP</v>
      </c>
      <c r="AX186" s="76" t="b">
        <v>0</v>
      </c>
      <c r="AY186" s="76"/>
      <c r="AZ186" s="76"/>
      <c r="BA186" s="76" t="b">
        <v>0</v>
      </c>
      <c r="BB186" s="76" t="b">
        <v>1</v>
      </c>
      <c r="BC186" s="76" t="b">
        <v>1</v>
      </c>
      <c r="BD186" s="76" t="b">
        <v>0</v>
      </c>
      <c r="BE186" s="76" t="b">
        <v>0</v>
      </c>
      <c r="BF186" s="76" t="b">
        <v>0</v>
      </c>
      <c r="BG186" s="76" t="b">
        <v>0</v>
      </c>
      <c r="BH186" s="83" t="str">
        <f>HYPERLINK("https://pbs.twimg.com/profile_banners/1686198677990219776/1690969842")</f>
        <v>https://pbs.twimg.com/profile_banners/1686198677990219776/1690969842</v>
      </c>
      <c r="BI186" s="76"/>
      <c r="BJ186" s="76" t="s">
        <v>7245</v>
      </c>
      <c r="BK186" s="76" t="b">
        <v>0</v>
      </c>
      <c r="BL186" s="76"/>
      <c r="BM186" s="76" t="s">
        <v>66</v>
      </c>
      <c r="BN186" s="76" t="s">
        <v>7247</v>
      </c>
      <c r="BO186" s="83" t="str">
        <f>HYPERLINK("https://twitter.com/vander74752")</f>
        <v>https://twitter.com/vander74752</v>
      </c>
      <c r="BP186" s="2"/>
    </row>
    <row r="187" spans="1:68" x14ac:dyDescent="0.25">
      <c r="A187" s="62" t="s">
        <v>400</v>
      </c>
      <c r="B187" s="63"/>
      <c r="C187" s="63"/>
      <c r="D187" s="64"/>
      <c r="E187" s="66"/>
      <c r="F187" s="102" t="str">
        <f>HYPERLINK("https://pbs.twimg.com/profile_images/1690032461063806976/0QuLjayW_normal.jpg")</f>
        <v>https://pbs.twimg.com/profile_images/1690032461063806976/0QuLjayW_normal.jpg</v>
      </c>
      <c r="G187" s="63"/>
      <c r="H187" s="67"/>
      <c r="I187" s="68"/>
      <c r="J187" s="68"/>
      <c r="K187" s="67" t="s">
        <v>7431</v>
      </c>
      <c r="L187" s="71"/>
      <c r="M187" s="72"/>
      <c r="N187" s="72"/>
      <c r="O187" s="73"/>
      <c r="P187" s="74"/>
      <c r="Q187" s="74"/>
      <c r="R187" s="86"/>
      <c r="S187" s="86"/>
      <c r="T187" s="86"/>
      <c r="U187" s="86"/>
      <c r="V187" s="48"/>
      <c r="W187" s="48"/>
      <c r="X187" s="48"/>
      <c r="Y187" s="48"/>
      <c r="Z187" s="47"/>
      <c r="AA187" s="69">
        <v>187</v>
      </c>
      <c r="AB187" s="69"/>
      <c r="AC187" s="70"/>
      <c r="AD187" s="76" t="s">
        <v>6314</v>
      </c>
      <c r="AE187" s="81" t="s">
        <v>5982</v>
      </c>
      <c r="AF187" s="76">
        <v>11</v>
      </c>
      <c r="AG187" s="76">
        <v>29</v>
      </c>
      <c r="AH187" s="76">
        <v>336</v>
      </c>
      <c r="AI187" s="76">
        <v>0</v>
      </c>
      <c r="AJ187" s="76">
        <v>23</v>
      </c>
      <c r="AK187" s="76">
        <v>84</v>
      </c>
      <c r="AL187" s="76" t="b">
        <v>0</v>
      </c>
      <c r="AM187" s="78">
        <v>44414.014768518522</v>
      </c>
      <c r="AN187" s="76" t="s">
        <v>6623</v>
      </c>
      <c r="AO187" s="76" t="s">
        <v>6836</v>
      </c>
      <c r="AP187" s="83" t="str">
        <f>HYPERLINK("https://t.co/KAPqQkC5ES")</f>
        <v>https://t.co/KAPqQkC5ES</v>
      </c>
      <c r="AQ187" s="83" t="str">
        <f>HYPERLINK("https://linktr.ee/leoprioficial")</f>
        <v>https://linktr.ee/leoprioficial</v>
      </c>
      <c r="AR187" s="76" t="s">
        <v>7101</v>
      </c>
      <c r="AS187" s="76"/>
      <c r="AT187" s="76"/>
      <c r="AU187" s="76"/>
      <c r="AV187" s="76">
        <v>1.50824772407597E+18</v>
      </c>
      <c r="AW187" s="83" t="str">
        <f>HYPERLINK("https://t.co/KAPqQkC5ES")</f>
        <v>https://t.co/KAPqQkC5ES</v>
      </c>
      <c r="AX187" s="76" t="b">
        <v>0</v>
      </c>
      <c r="AY187" s="76"/>
      <c r="AZ187" s="76"/>
      <c r="BA187" s="76" t="b">
        <v>0</v>
      </c>
      <c r="BB187" s="76" t="b">
        <v>1</v>
      </c>
      <c r="BC187" s="76" t="b">
        <v>1</v>
      </c>
      <c r="BD187" s="76" t="b">
        <v>0</v>
      </c>
      <c r="BE187" s="76" t="b">
        <v>0</v>
      </c>
      <c r="BF187" s="76" t="b">
        <v>0</v>
      </c>
      <c r="BG187" s="76" t="b">
        <v>0</v>
      </c>
      <c r="BH187" s="83" t="str">
        <f>HYPERLINK("https://pbs.twimg.com/profile_banners/1423436794289393666/1690680422")</f>
        <v>https://pbs.twimg.com/profile_banners/1423436794289393666/1690680422</v>
      </c>
      <c r="BI187" s="76"/>
      <c r="BJ187" s="76" t="s">
        <v>7245</v>
      </c>
      <c r="BK187" s="76" t="b">
        <v>0</v>
      </c>
      <c r="BL187" s="76"/>
      <c r="BM187" s="76" t="s">
        <v>66</v>
      </c>
      <c r="BN187" s="76" t="s">
        <v>7247</v>
      </c>
      <c r="BO187" s="83" t="str">
        <f>HYPERLINK("https://twitter.com/leoprioficial")</f>
        <v>https://twitter.com/leoprioficial</v>
      </c>
      <c r="BP187" s="2"/>
    </row>
    <row r="188" spans="1:68" x14ac:dyDescent="0.25">
      <c r="A188" s="62" t="s">
        <v>401</v>
      </c>
      <c r="B188" s="63"/>
      <c r="C188" s="63"/>
      <c r="D188" s="64"/>
      <c r="E188" s="66"/>
      <c r="F188" s="102" t="str">
        <f>HYPERLINK("https://pbs.twimg.com/profile_images/1615528674077310976/IQMuWLlw_normal.jpg")</f>
        <v>https://pbs.twimg.com/profile_images/1615528674077310976/IQMuWLlw_normal.jpg</v>
      </c>
      <c r="G188" s="63"/>
      <c r="H188" s="67"/>
      <c r="I188" s="68"/>
      <c r="J188" s="68"/>
      <c r="K188" s="67" t="s">
        <v>7432</v>
      </c>
      <c r="L188" s="71"/>
      <c r="M188" s="72"/>
      <c r="N188" s="72"/>
      <c r="O188" s="73"/>
      <c r="P188" s="74"/>
      <c r="Q188" s="74"/>
      <c r="R188" s="86"/>
      <c r="S188" s="86"/>
      <c r="T188" s="86"/>
      <c r="U188" s="86"/>
      <c r="V188" s="48"/>
      <c r="W188" s="48"/>
      <c r="X188" s="48"/>
      <c r="Y188" s="48"/>
      <c r="Z188" s="47"/>
      <c r="AA188" s="69">
        <v>188</v>
      </c>
      <c r="AB188" s="69"/>
      <c r="AC188" s="70"/>
      <c r="AD188" s="76" t="s">
        <v>6315</v>
      </c>
      <c r="AE188" s="81" t="s">
        <v>5983</v>
      </c>
      <c r="AF188" s="76">
        <v>0</v>
      </c>
      <c r="AG188" s="76">
        <v>28</v>
      </c>
      <c r="AH188" s="76">
        <v>9</v>
      </c>
      <c r="AI188" s="76">
        <v>0</v>
      </c>
      <c r="AJ188" s="76">
        <v>63</v>
      </c>
      <c r="AK188" s="76">
        <v>8</v>
      </c>
      <c r="AL188" s="76" t="b">
        <v>0</v>
      </c>
      <c r="AM188" s="78">
        <v>44860.098043981481</v>
      </c>
      <c r="AN188" s="76"/>
      <c r="AO188" s="76" t="s">
        <v>6837</v>
      </c>
      <c r="AP188" s="76"/>
      <c r="AQ188" s="76"/>
      <c r="AR188" s="76"/>
      <c r="AS188" s="76"/>
      <c r="AT188" s="76"/>
      <c r="AU188" s="76"/>
      <c r="AV188" s="76"/>
      <c r="AW188" s="76"/>
      <c r="AX188" s="76" t="b">
        <v>0</v>
      </c>
      <c r="AY188" s="76"/>
      <c r="AZ188" s="76"/>
      <c r="BA188" s="76" t="b">
        <v>0</v>
      </c>
      <c r="BB188" s="76" t="b">
        <v>1</v>
      </c>
      <c r="BC188" s="76" t="b">
        <v>1</v>
      </c>
      <c r="BD188" s="76" t="b">
        <v>0</v>
      </c>
      <c r="BE188" s="76" t="b">
        <v>0</v>
      </c>
      <c r="BF188" s="76" t="b">
        <v>0</v>
      </c>
      <c r="BG188" s="76" t="b">
        <v>0</v>
      </c>
      <c r="BH188" s="83" t="str">
        <f>HYPERLINK("https://pbs.twimg.com/profile_banners/1585093874824929280/1674007026")</f>
        <v>https://pbs.twimg.com/profile_banners/1585093874824929280/1674007026</v>
      </c>
      <c r="BI188" s="76"/>
      <c r="BJ188" s="76" t="s">
        <v>7245</v>
      </c>
      <c r="BK188" s="76" t="b">
        <v>0</v>
      </c>
      <c r="BL188" s="76"/>
      <c r="BM188" s="76" t="s">
        <v>66</v>
      </c>
      <c r="BN188" s="76" t="s">
        <v>7247</v>
      </c>
      <c r="BO188" s="83" t="str">
        <f>HYPERLINK("https://twitter.com/dilianesilva5")</f>
        <v>https://twitter.com/dilianesilva5</v>
      </c>
      <c r="BP188" s="2"/>
    </row>
    <row r="189" spans="1:68" x14ac:dyDescent="0.25">
      <c r="A189" s="62" t="s">
        <v>402</v>
      </c>
      <c r="B189" s="63"/>
      <c r="C189" s="63"/>
      <c r="D189" s="64"/>
      <c r="E189" s="66"/>
      <c r="F189" s="102" t="str">
        <f>HYPERLINK("https://pbs.twimg.com/profile_images/1494034280338571265/5HQ_Gu6j_normal.jpg")</f>
        <v>https://pbs.twimg.com/profile_images/1494034280338571265/5HQ_Gu6j_normal.jpg</v>
      </c>
      <c r="G189" s="63"/>
      <c r="H189" s="67"/>
      <c r="I189" s="68"/>
      <c r="J189" s="68"/>
      <c r="K189" s="67" t="s">
        <v>7433</v>
      </c>
      <c r="L189" s="71"/>
      <c r="M189" s="72"/>
      <c r="N189" s="72"/>
      <c r="O189" s="73"/>
      <c r="P189" s="74"/>
      <c r="Q189" s="74"/>
      <c r="R189" s="86"/>
      <c r="S189" s="86"/>
      <c r="T189" s="86"/>
      <c r="U189" s="86"/>
      <c r="V189" s="48"/>
      <c r="W189" s="48"/>
      <c r="X189" s="48"/>
      <c r="Y189" s="48"/>
      <c r="Z189" s="47"/>
      <c r="AA189" s="69">
        <v>189</v>
      </c>
      <c r="AB189" s="69"/>
      <c r="AC189" s="70"/>
      <c r="AD189" s="76" t="s">
        <v>6316</v>
      </c>
      <c r="AE189" s="81" t="s">
        <v>5984</v>
      </c>
      <c r="AF189" s="76">
        <v>40</v>
      </c>
      <c r="AG189" s="76">
        <v>95</v>
      </c>
      <c r="AH189" s="76">
        <v>2217</v>
      </c>
      <c r="AI189" s="76">
        <v>0</v>
      </c>
      <c r="AJ189" s="76">
        <v>674</v>
      </c>
      <c r="AK189" s="76">
        <v>50</v>
      </c>
      <c r="AL189" s="76" t="b">
        <v>0</v>
      </c>
      <c r="AM189" s="78">
        <v>44608.8202662037</v>
      </c>
      <c r="AN189" s="76" t="s">
        <v>6624</v>
      </c>
      <c r="AO189" s="76" t="s">
        <v>6838</v>
      </c>
      <c r="AP189" s="83" t="str">
        <f>HYPERLINK("https://t.co/yIPLP8RErk")</f>
        <v>https://t.co/yIPLP8RErk</v>
      </c>
      <c r="AQ189" s="83" t="str">
        <f>HYPERLINK("https://linktr.ee/caminhodoinvestimento")</f>
        <v>https://linktr.ee/caminhodoinvestimento</v>
      </c>
      <c r="AR189" s="76" t="s">
        <v>7102</v>
      </c>
      <c r="AS189" s="76"/>
      <c r="AT189" s="76"/>
      <c r="AU189" s="76"/>
      <c r="AV189" s="76"/>
      <c r="AW189" s="83" t="str">
        <f>HYPERLINK("https://t.co/yIPLP8RErk")</f>
        <v>https://t.co/yIPLP8RErk</v>
      </c>
      <c r="AX189" s="76" t="b">
        <v>0</v>
      </c>
      <c r="AY189" s="76"/>
      <c r="AZ189" s="76"/>
      <c r="BA189" s="76" t="b">
        <v>0</v>
      </c>
      <c r="BB189" s="76" t="b">
        <v>1</v>
      </c>
      <c r="BC189" s="76" t="b">
        <v>1</v>
      </c>
      <c r="BD189" s="76" t="b">
        <v>0</v>
      </c>
      <c r="BE189" s="76" t="b">
        <v>1</v>
      </c>
      <c r="BF189" s="76" t="b">
        <v>0</v>
      </c>
      <c r="BG189" s="76" t="b">
        <v>0</v>
      </c>
      <c r="BH189" s="83" t="str">
        <f>HYPERLINK("https://pbs.twimg.com/profile_banners/1494033577427849218/1646679519")</f>
        <v>https://pbs.twimg.com/profile_banners/1494033577427849218/1646679519</v>
      </c>
      <c r="BI189" s="76"/>
      <c r="BJ189" s="76" t="s">
        <v>7245</v>
      </c>
      <c r="BK189" s="76" t="b">
        <v>0</v>
      </c>
      <c r="BL189" s="76"/>
      <c r="BM189" s="76" t="s">
        <v>66</v>
      </c>
      <c r="BN189" s="76" t="s">
        <v>7247</v>
      </c>
      <c r="BO189" s="83" t="str">
        <f>HYPERLINK("https://twitter.com/caminhodoinves1")</f>
        <v>https://twitter.com/caminhodoinves1</v>
      </c>
      <c r="BP189" s="2"/>
    </row>
    <row r="190" spans="1:68" x14ac:dyDescent="0.25">
      <c r="A190" s="62" t="s">
        <v>403</v>
      </c>
      <c r="B190" s="63"/>
      <c r="C190" s="63"/>
      <c r="D190" s="64"/>
      <c r="E190" s="66"/>
      <c r="F190" s="102" t="str">
        <f>HYPERLINK("https://pbs.twimg.com/profile_images/1646999309273931777/piJiy2J0_normal.jpg")</f>
        <v>https://pbs.twimg.com/profile_images/1646999309273931777/piJiy2J0_normal.jpg</v>
      </c>
      <c r="G190" s="63"/>
      <c r="H190" s="67"/>
      <c r="I190" s="68"/>
      <c r="J190" s="68"/>
      <c r="K190" s="67" t="s">
        <v>7434</v>
      </c>
      <c r="L190" s="71"/>
      <c r="M190" s="72"/>
      <c r="N190" s="72"/>
      <c r="O190" s="73"/>
      <c r="P190" s="74"/>
      <c r="Q190" s="74"/>
      <c r="R190" s="86"/>
      <c r="S190" s="86"/>
      <c r="T190" s="86"/>
      <c r="U190" s="86"/>
      <c r="V190" s="48"/>
      <c r="W190" s="48"/>
      <c r="X190" s="48"/>
      <c r="Y190" s="48"/>
      <c r="Z190" s="47"/>
      <c r="AA190" s="69">
        <v>190</v>
      </c>
      <c r="AB190" s="69"/>
      <c r="AC190" s="70"/>
      <c r="AD190" s="76" t="s">
        <v>6317</v>
      </c>
      <c r="AE190" s="81" t="s">
        <v>6516</v>
      </c>
      <c r="AF190" s="76">
        <v>251</v>
      </c>
      <c r="AG190" s="76">
        <v>684</v>
      </c>
      <c r="AH190" s="76">
        <v>839</v>
      </c>
      <c r="AI190" s="76">
        <v>0</v>
      </c>
      <c r="AJ190" s="76">
        <v>773</v>
      </c>
      <c r="AK190" s="76">
        <v>58</v>
      </c>
      <c r="AL190" s="76" t="b">
        <v>0</v>
      </c>
      <c r="AM190" s="78">
        <v>39983.089085648149</v>
      </c>
      <c r="AN190" s="76" t="s">
        <v>3752</v>
      </c>
      <c r="AO190" s="76" t="s">
        <v>6839</v>
      </c>
      <c r="AP190" s="76"/>
      <c r="AQ190" s="76"/>
      <c r="AR190" s="76"/>
      <c r="AS190" s="76"/>
      <c r="AT190" s="76"/>
      <c r="AU190" s="76"/>
      <c r="AV190" s="76"/>
      <c r="AW190" s="76"/>
      <c r="AX190" s="76" t="b">
        <v>0</v>
      </c>
      <c r="AY190" s="76"/>
      <c r="AZ190" s="76"/>
      <c r="BA190" s="76" t="b">
        <v>1</v>
      </c>
      <c r="BB190" s="76" t="b">
        <v>0</v>
      </c>
      <c r="BC190" s="76" t="b">
        <v>0</v>
      </c>
      <c r="BD190" s="76" t="b">
        <v>0</v>
      </c>
      <c r="BE190" s="76" t="b">
        <v>1</v>
      </c>
      <c r="BF190" s="76" t="b">
        <v>0</v>
      </c>
      <c r="BG190" s="76" t="b">
        <v>0</v>
      </c>
      <c r="BH190" s="83" t="str">
        <f>HYPERLINK("https://pbs.twimg.com/profile_banners/48575148/1531661877")</f>
        <v>https://pbs.twimg.com/profile_banners/48575148/1531661877</v>
      </c>
      <c r="BI190" s="76"/>
      <c r="BJ190" s="76" t="s">
        <v>7245</v>
      </c>
      <c r="BK190" s="76" t="b">
        <v>0</v>
      </c>
      <c r="BL190" s="76"/>
      <c r="BM190" s="76" t="s">
        <v>66</v>
      </c>
      <c r="BN190" s="76" t="s">
        <v>7247</v>
      </c>
      <c r="BO190" s="83" t="str">
        <f>HYPERLINK("https://twitter.com/rvgrande")</f>
        <v>https://twitter.com/rvgrande</v>
      </c>
      <c r="BP190" s="2"/>
    </row>
    <row r="191" spans="1:68" x14ac:dyDescent="0.25">
      <c r="A191" s="62" t="s">
        <v>404</v>
      </c>
      <c r="B191" s="63"/>
      <c r="C191" s="63"/>
      <c r="D191" s="64"/>
      <c r="E191" s="66"/>
      <c r="F191" s="102" t="str">
        <f>HYPERLINK("https://pbs.twimg.com/profile_images/1700644174133870592/9vDDJ8Qg_normal.jpg")</f>
        <v>https://pbs.twimg.com/profile_images/1700644174133870592/9vDDJ8Qg_normal.jpg</v>
      </c>
      <c r="G191" s="63"/>
      <c r="H191" s="67"/>
      <c r="I191" s="68"/>
      <c r="J191" s="68"/>
      <c r="K191" s="67" t="s">
        <v>7435</v>
      </c>
      <c r="L191" s="71"/>
      <c r="M191" s="72"/>
      <c r="N191" s="72"/>
      <c r="O191" s="73"/>
      <c r="P191" s="74"/>
      <c r="Q191" s="74"/>
      <c r="R191" s="86"/>
      <c r="S191" s="86"/>
      <c r="T191" s="86"/>
      <c r="U191" s="86"/>
      <c r="V191" s="48"/>
      <c r="W191" s="48"/>
      <c r="X191" s="48"/>
      <c r="Y191" s="48"/>
      <c r="Z191" s="47"/>
      <c r="AA191" s="69">
        <v>191</v>
      </c>
      <c r="AB191" s="69"/>
      <c r="AC191" s="70"/>
      <c r="AD191" s="76" t="s">
        <v>6318</v>
      </c>
      <c r="AE191" s="81" t="s">
        <v>5985</v>
      </c>
      <c r="AF191" s="76">
        <v>1</v>
      </c>
      <c r="AG191" s="76">
        <v>3</v>
      </c>
      <c r="AH191" s="76">
        <v>11</v>
      </c>
      <c r="AI191" s="76">
        <v>0</v>
      </c>
      <c r="AJ191" s="76">
        <v>4</v>
      </c>
      <c r="AK191" s="76">
        <v>0</v>
      </c>
      <c r="AL191" s="76" t="b">
        <v>0</v>
      </c>
      <c r="AM191" s="78">
        <v>44979.584432870368</v>
      </c>
      <c r="AN191" s="76"/>
      <c r="AO191" s="76" t="s">
        <v>6840</v>
      </c>
      <c r="AP191" s="76"/>
      <c r="AQ191" s="76"/>
      <c r="AR191" s="76"/>
      <c r="AS191" s="83" t="str">
        <f>HYPERLINK("https://t.co/rkkqIENlM3")</f>
        <v>https://t.co/rkkqIENlM3</v>
      </c>
      <c r="AT191" s="83" t="str">
        <f>HYPERLINK("http://bit.ly/curso-jornada-")</f>
        <v>http://bit.ly/curso-jornada-</v>
      </c>
      <c r="AU191" s="76" t="s">
        <v>7234</v>
      </c>
      <c r="AV191" s="76"/>
      <c r="AW191" s="76"/>
      <c r="AX191" s="76" t="b">
        <v>0</v>
      </c>
      <c r="AY191" s="76"/>
      <c r="AZ191" s="76"/>
      <c r="BA191" s="76" t="b">
        <v>0</v>
      </c>
      <c r="BB191" s="76" t="b">
        <v>1</v>
      </c>
      <c r="BC191" s="76" t="b">
        <v>1</v>
      </c>
      <c r="BD191" s="76" t="b">
        <v>0</v>
      </c>
      <c r="BE191" s="76" t="b">
        <v>0</v>
      </c>
      <c r="BF191" s="76" t="b">
        <v>0</v>
      </c>
      <c r="BG191" s="76" t="b">
        <v>0</v>
      </c>
      <c r="BH191" s="83" t="str">
        <f>HYPERLINK("https://pbs.twimg.com/profile_banners/1628394434000715776/1694300143")</f>
        <v>https://pbs.twimg.com/profile_banners/1628394434000715776/1694300143</v>
      </c>
      <c r="BI191" s="76"/>
      <c r="BJ191" s="76" t="s">
        <v>7245</v>
      </c>
      <c r="BK191" s="76" t="b">
        <v>0</v>
      </c>
      <c r="BL191" s="76"/>
      <c r="BM191" s="76" t="s">
        <v>66</v>
      </c>
      <c r="BN191" s="76" t="s">
        <v>7247</v>
      </c>
      <c r="BO191" s="83" t="str">
        <f>HYPERLINK("https://twitter.com/fatos_pro")</f>
        <v>https://twitter.com/fatos_pro</v>
      </c>
      <c r="BP191" s="2"/>
    </row>
    <row r="192" spans="1:68" x14ac:dyDescent="0.25">
      <c r="A192" s="62" t="s">
        <v>405</v>
      </c>
      <c r="B192" s="63"/>
      <c r="C192" s="63"/>
      <c r="D192" s="64"/>
      <c r="E192" s="66"/>
      <c r="F192" s="102" t="str">
        <f>HYPERLINK("https://pbs.twimg.com/profile_images/1640419822151319574/KlCx_iXz_normal.jpg")</f>
        <v>https://pbs.twimg.com/profile_images/1640419822151319574/KlCx_iXz_normal.jpg</v>
      </c>
      <c r="G192" s="63"/>
      <c r="H192" s="67"/>
      <c r="I192" s="68"/>
      <c r="J192" s="68"/>
      <c r="K192" s="67" t="s">
        <v>7436</v>
      </c>
      <c r="L192" s="71"/>
      <c r="M192" s="72"/>
      <c r="N192" s="72"/>
      <c r="O192" s="73"/>
      <c r="P192" s="74"/>
      <c r="Q192" s="74"/>
      <c r="R192" s="86"/>
      <c r="S192" s="86"/>
      <c r="T192" s="86"/>
      <c r="U192" s="86"/>
      <c r="V192" s="48"/>
      <c r="W192" s="48"/>
      <c r="X192" s="48"/>
      <c r="Y192" s="48"/>
      <c r="Z192" s="47"/>
      <c r="AA192" s="69">
        <v>192</v>
      </c>
      <c r="AB192" s="69"/>
      <c r="AC192" s="70"/>
      <c r="AD192" s="76" t="s">
        <v>6319</v>
      </c>
      <c r="AE192" s="81" t="s">
        <v>5986</v>
      </c>
      <c r="AF192" s="76">
        <v>0</v>
      </c>
      <c r="AG192" s="76">
        <v>9</v>
      </c>
      <c r="AH192" s="76">
        <v>3</v>
      </c>
      <c r="AI192" s="76">
        <v>0</v>
      </c>
      <c r="AJ192" s="76">
        <v>5</v>
      </c>
      <c r="AK192" s="76">
        <v>2</v>
      </c>
      <c r="AL192" s="76" t="b">
        <v>0</v>
      </c>
      <c r="AM192" s="78">
        <v>45012.711377314816</v>
      </c>
      <c r="AN192" s="76"/>
      <c r="AO192" s="76" t="s">
        <v>6841</v>
      </c>
      <c r="AP192" s="76"/>
      <c r="AQ192" s="76"/>
      <c r="AR192" s="76"/>
      <c r="AS192" s="76"/>
      <c r="AT192" s="76"/>
      <c r="AU192" s="76"/>
      <c r="AV192" s="76"/>
      <c r="AW192" s="76"/>
      <c r="AX192" s="76" t="b">
        <v>0</v>
      </c>
      <c r="AY192" s="76"/>
      <c r="AZ192" s="76"/>
      <c r="BA192" s="76" t="b">
        <v>0</v>
      </c>
      <c r="BB192" s="76" t="b">
        <v>1</v>
      </c>
      <c r="BC192" s="76" t="b">
        <v>1</v>
      </c>
      <c r="BD192" s="76" t="b">
        <v>0</v>
      </c>
      <c r="BE192" s="76" t="b">
        <v>0</v>
      </c>
      <c r="BF192" s="76" t="b">
        <v>0</v>
      </c>
      <c r="BG192" s="76" t="b">
        <v>0</v>
      </c>
      <c r="BH192" s="83" t="str">
        <f>HYPERLINK("https://pbs.twimg.com/profile_banners/1640399325669752837/1679941989")</f>
        <v>https://pbs.twimg.com/profile_banners/1640399325669752837/1679941989</v>
      </c>
      <c r="BI192" s="76"/>
      <c r="BJ192" s="76" t="s">
        <v>7245</v>
      </c>
      <c r="BK192" s="76" t="b">
        <v>0</v>
      </c>
      <c r="BL192" s="76"/>
      <c r="BM192" s="76" t="s">
        <v>66</v>
      </c>
      <c r="BN192" s="76" t="s">
        <v>7247</v>
      </c>
      <c r="BO192" s="83" t="str">
        <f>HYPERLINK("https://twitter.com/conq_liberdade1")</f>
        <v>https://twitter.com/conq_liberdade1</v>
      </c>
      <c r="BP192" s="2"/>
    </row>
    <row r="193" spans="1:68" x14ac:dyDescent="0.25">
      <c r="A193" s="62" t="s">
        <v>406</v>
      </c>
      <c r="B193" s="63"/>
      <c r="C193" s="63"/>
      <c r="D193" s="64"/>
      <c r="E193" s="66"/>
      <c r="F193" s="102" t="str">
        <f>HYPERLINK("https://pbs.twimg.com/profile_images/1645889811176194052/KlWmGfcC_normal.jpg")</f>
        <v>https://pbs.twimg.com/profile_images/1645889811176194052/KlWmGfcC_normal.jpg</v>
      </c>
      <c r="G193" s="63"/>
      <c r="H193" s="67"/>
      <c r="I193" s="68"/>
      <c r="J193" s="68"/>
      <c r="K193" s="67" t="s">
        <v>7437</v>
      </c>
      <c r="L193" s="71"/>
      <c r="M193" s="72"/>
      <c r="N193" s="72"/>
      <c r="O193" s="73"/>
      <c r="P193" s="74"/>
      <c r="Q193" s="74"/>
      <c r="R193" s="86"/>
      <c r="S193" s="86"/>
      <c r="T193" s="86"/>
      <c r="U193" s="86"/>
      <c r="V193" s="48"/>
      <c r="W193" s="48"/>
      <c r="X193" s="48"/>
      <c r="Y193" s="48"/>
      <c r="Z193" s="47"/>
      <c r="AA193" s="69">
        <v>193</v>
      </c>
      <c r="AB193" s="69"/>
      <c r="AC193" s="70"/>
      <c r="AD193" s="76" t="s">
        <v>6320</v>
      </c>
      <c r="AE193" s="81" t="s">
        <v>5987</v>
      </c>
      <c r="AF193" s="76">
        <v>13</v>
      </c>
      <c r="AG193" s="76">
        <v>346</v>
      </c>
      <c r="AH193" s="76">
        <v>108</v>
      </c>
      <c r="AI193" s="76">
        <v>0</v>
      </c>
      <c r="AJ193" s="76">
        <v>8</v>
      </c>
      <c r="AK193" s="76">
        <v>92</v>
      </c>
      <c r="AL193" s="76" t="b">
        <v>0</v>
      </c>
      <c r="AM193" s="78">
        <v>44933.6012962963</v>
      </c>
      <c r="AN193" s="76" t="s">
        <v>6594</v>
      </c>
      <c r="AO193" s="76" t="s">
        <v>6842</v>
      </c>
      <c r="AP193" s="76"/>
      <c r="AQ193" s="76"/>
      <c r="AR193" s="76"/>
      <c r="AS193" s="76"/>
      <c r="AT193" s="76"/>
      <c r="AU193" s="76"/>
      <c r="AV193" s="76"/>
      <c r="AW193" s="76"/>
      <c r="AX193" s="76" t="b">
        <v>0</v>
      </c>
      <c r="AY193" s="76"/>
      <c r="AZ193" s="76"/>
      <c r="BA193" s="76" t="b">
        <v>0</v>
      </c>
      <c r="BB193" s="76" t="b">
        <v>1</v>
      </c>
      <c r="BC193" s="76" t="b">
        <v>1</v>
      </c>
      <c r="BD193" s="76" t="b">
        <v>0</v>
      </c>
      <c r="BE193" s="76" t="b">
        <v>0</v>
      </c>
      <c r="BF193" s="76" t="b">
        <v>0</v>
      </c>
      <c r="BG193" s="76" t="b">
        <v>0</v>
      </c>
      <c r="BH193" s="83" t="str">
        <f>HYPERLINK("https://pbs.twimg.com/profile_banners/1611730749866053634/1679494647")</f>
        <v>https://pbs.twimg.com/profile_banners/1611730749866053634/1679494647</v>
      </c>
      <c r="BI193" s="76"/>
      <c r="BJ193" s="76" t="s">
        <v>7245</v>
      </c>
      <c r="BK193" s="76" t="b">
        <v>0</v>
      </c>
      <c r="BL193" s="76"/>
      <c r="BM193" s="76" t="s">
        <v>66</v>
      </c>
      <c r="BN193" s="76" t="s">
        <v>7247</v>
      </c>
      <c r="BO193" s="83" t="str">
        <f>HYPERLINK("https://twitter.com/mostbillion")</f>
        <v>https://twitter.com/mostbillion</v>
      </c>
      <c r="BP193" s="2"/>
    </row>
    <row r="194" spans="1:68" x14ac:dyDescent="0.25">
      <c r="A194" s="62" t="s">
        <v>407</v>
      </c>
      <c r="B194" s="63"/>
      <c r="C194" s="63"/>
      <c r="D194" s="64"/>
      <c r="E194" s="66"/>
      <c r="F194" s="102" t="str">
        <f>HYPERLINK("https://pbs.twimg.com/profile_images/1678460129300160512/AECoUF6N_normal.jpg")</f>
        <v>https://pbs.twimg.com/profile_images/1678460129300160512/AECoUF6N_normal.jpg</v>
      </c>
      <c r="G194" s="63"/>
      <c r="H194" s="67"/>
      <c r="I194" s="68"/>
      <c r="J194" s="68"/>
      <c r="K194" s="67" t="s">
        <v>7438</v>
      </c>
      <c r="L194" s="71"/>
      <c r="M194" s="72"/>
      <c r="N194" s="72"/>
      <c r="O194" s="73"/>
      <c r="P194" s="74"/>
      <c r="Q194" s="74"/>
      <c r="R194" s="86"/>
      <c r="S194" s="86"/>
      <c r="T194" s="86"/>
      <c r="U194" s="86"/>
      <c r="V194" s="48"/>
      <c r="W194" s="48"/>
      <c r="X194" s="48"/>
      <c r="Y194" s="48"/>
      <c r="Z194" s="47"/>
      <c r="AA194" s="69">
        <v>194</v>
      </c>
      <c r="AB194" s="69"/>
      <c r="AC194" s="70"/>
      <c r="AD194" s="76" t="s">
        <v>6321</v>
      </c>
      <c r="AE194" s="81" t="s">
        <v>6517</v>
      </c>
      <c r="AF194" s="76">
        <v>180</v>
      </c>
      <c r="AG194" s="76">
        <v>151</v>
      </c>
      <c r="AH194" s="76">
        <v>1703</v>
      </c>
      <c r="AI194" s="76">
        <v>0</v>
      </c>
      <c r="AJ194" s="76">
        <v>583</v>
      </c>
      <c r="AK194" s="76">
        <v>188</v>
      </c>
      <c r="AL194" s="76" t="b">
        <v>0</v>
      </c>
      <c r="AM194" s="78">
        <v>40667.467569444445</v>
      </c>
      <c r="AN194" s="76" t="s">
        <v>3800</v>
      </c>
      <c r="AO194" s="76" t="s">
        <v>6843</v>
      </c>
      <c r="AP194" s="83" t="str">
        <f>HYPERLINK("https://t.co/lw43xnzemh")</f>
        <v>https://t.co/lw43xnzemh</v>
      </c>
      <c r="AQ194" s="83" t="str">
        <f>HYPERLINK("https://www.igorvieiraconsultor.com.br")</f>
        <v>https://www.igorvieiraconsultor.com.br</v>
      </c>
      <c r="AR194" s="76" t="s">
        <v>7103</v>
      </c>
      <c r="AS194" s="76"/>
      <c r="AT194" s="76"/>
      <c r="AU194" s="76"/>
      <c r="AV194" s="76"/>
      <c r="AW194" s="83" t="str">
        <f>HYPERLINK("https://t.co/lw43xnzemh")</f>
        <v>https://t.co/lw43xnzemh</v>
      </c>
      <c r="AX194" s="76" t="b">
        <v>0</v>
      </c>
      <c r="AY194" s="76"/>
      <c r="AZ194" s="76"/>
      <c r="BA194" s="76" t="b">
        <v>0</v>
      </c>
      <c r="BB194" s="76" t="b">
        <v>1</v>
      </c>
      <c r="BC194" s="76" t="b">
        <v>0</v>
      </c>
      <c r="BD194" s="76" t="b">
        <v>0</v>
      </c>
      <c r="BE194" s="76" t="b">
        <v>1</v>
      </c>
      <c r="BF194" s="76" t="b">
        <v>0</v>
      </c>
      <c r="BG194" s="76" t="b">
        <v>0</v>
      </c>
      <c r="BH194" s="83" t="str">
        <f>HYPERLINK("https://pbs.twimg.com/profile_banners/292867857/1689011065")</f>
        <v>https://pbs.twimg.com/profile_banners/292867857/1689011065</v>
      </c>
      <c r="BI194" s="76"/>
      <c r="BJ194" s="76" t="s">
        <v>7245</v>
      </c>
      <c r="BK194" s="76" t="b">
        <v>0</v>
      </c>
      <c r="BL194" s="76"/>
      <c r="BM194" s="76" t="s">
        <v>66</v>
      </c>
      <c r="BN194" s="76" t="s">
        <v>7247</v>
      </c>
      <c r="BO194" s="83" t="str">
        <f>HYPERLINK("https://twitter.com/igor_vieiraa")</f>
        <v>https://twitter.com/igor_vieiraa</v>
      </c>
      <c r="BP194" s="2"/>
    </row>
    <row r="195" spans="1:68" x14ac:dyDescent="0.25">
      <c r="A195" s="62" t="s">
        <v>408</v>
      </c>
      <c r="B195" s="63"/>
      <c r="C195" s="63"/>
      <c r="D195" s="64"/>
      <c r="E195" s="66"/>
      <c r="F195" s="102" t="str">
        <f>HYPERLINK("https://pbs.twimg.com/profile_images/1575782252352606210/GRvPjn2E_normal.png")</f>
        <v>https://pbs.twimg.com/profile_images/1575782252352606210/GRvPjn2E_normal.png</v>
      </c>
      <c r="G195" s="63"/>
      <c r="H195" s="67"/>
      <c r="I195" s="68"/>
      <c r="J195" s="68"/>
      <c r="K195" s="67" t="s">
        <v>7439</v>
      </c>
      <c r="L195" s="71"/>
      <c r="M195" s="72"/>
      <c r="N195" s="72"/>
      <c r="O195" s="73"/>
      <c r="P195" s="74"/>
      <c r="Q195" s="74"/>
      <c r="R195" s="86"/>
      <c r="S195" s="86"/>
      <c r="T195" s="86"/>
      <c r="U195" s="86"/>
      <c r="V195" s="48"/>
      <c r="W195" s="48"/>
      <c r="X195" s="48"/>
      <c r="Y195" s="48"/>
      <c r="Z195" s="47"/>
      <c r="AA195" s="69">
        <v>195</v>
      </c>
      <c r="AB195" s="69"/>
      <c r="AC195" s="70"/>
      <c r="AD195" s="76" t="s">
        <v>6322</v>
      </c>
      <c r="AE195" s="81" t="s">
        <v>5988</v>
      </c>
      <c r="AF195" s="76">
        <v>81</v>
      </c>
      <c r="AG195" s="76">
        <v>79</v>
      </c>
      <c r="AH195" s="76">
        <v>423</v>
      </c>
      <c r="AI195" s="76">
        <v>0</v>
      </c>
      <c r="AJ195" s="76">
        <v>55</v>
      </c>
      <c r="AK195" s="76">
        <v>371</v>
      </c>
      <c r="AL195" s="76" t="b">
        <v>0</v>
      </c>
      <c r="AM195" s="78">
        <v>44830.490474537037</v>
      </c>
      <c r="AN195" s="76" t="s">
        <v>3752</v>
      </c>
      <c r="AO195" s="76" t="s">
        <v>6844</v>
      </c>
      <c r="AP195" s="83" t="str">
        <f>HYPERLINK("https://t.co/0clN7OcfqX")</f>
        <v>https://t.co/0clN7OcfqX</v>
      </c>
      <c r="AQ195" s="83" t="str">
        <f>HYPERLINK("http://bit.ly/AFUNofficial")</f>
        <v>http://bit.ly/AFUNofficial</v>
      </c>
      <c r="AR195" s="76" t="s">
        <v>7104</v>
      </c>
      <c r="AS195" s="76"/>
      <c r="AT195" s="76"/>
      <c r="AU195" s="76"/>
      <c r="AV195" s="76">
        <v>1.6334540636300301E+18</v>
      </c>
      <c r="AW195" s="83" t="str">
        <f>HYPERLINK("https://t.co/0clN7OcfqX")</f>
        <v>https://t.co/0clN7OcfqX</v>
      </c>
      <c r="AX195" s="76" t="b">
        <v>0</v>
      </c>
      <c r="AY195" s="76"/>
      <c r="AZ195" s="76"/>
      <c r="BA195" s="76" t="b">
        <v>0</v>
      </c>
      <c r="BB195" s="76" t="b">
        <v>1</v>
      </c>
      <c r="BC195" s="76" t="b">
        <v>1</v>
      </c>
      <c r="BD195" s="76" t="b">
        <v>0</v>
      </c>
      <c r="BE195" s="76" t="b">
        <v>0</v>
      </c>
      <c r="BF195" s="76" t="b">
        <v>0</v>
      </c>
      <c r="BG195" s="76" t="b">
        <v>0</v>
      </c>
      <c r="BH195" s="83" t="str">
        <f>HYPERLINK("https://pbs.twimg.com/profile_banners/1574364698119634944/1669452980")</f>
        <v>https://pbs.twimg.com/profile_banners/1574364698119634944/1669452980</v>
      </c>
      <c r="BI195" s="76"/>
      <c r="BJ195" s="76" t="s">
        <v>7245</v>
      </c>
      <c r="BK195" s="76" t="b">
        <v>0</v>
      </c>
      <c r="BL195" s="76"/>
      <c r="BM195" s="76" t="s">
        <v>66</v>
      </c>
      <c r="BN195" s="76" t="s">
        <v>7247</v>
      </c>
      <c r="BO195" s="83" t="str">
        <f>HYPERLINK("https://twitter.com/afun_to_earn")</f>
        <v>https://twitter.com/afun_to_earn</v>
      </c>
      <c r="BP195" s="2"/>
    </row>
    <row r="196" spans="1:68" x14ac:dyDescent="0.25">
      <c r="A196" s="62" t="s">
        <v>409</v>
      </c>
      <c r="B196" s="63"/>
      <c r="C196" s="63"/>
      <c r="D196" s="64"/>
      <c r="E196" s="66"/>
      <c r="F196" s="102" t="str">
        <f>HYPERLINK("https://pbs.twimg.com/profile_images/1652733253902540803/D1rDT8kH_normal.jpg")</f>
        <v>https://pbs.twimg.com/profile_images/1652733253902540803/D1rDT8kH_normal.jpg</v>
      </c>
      <c r="G196" s="63"/>
      <c r="H196" s="67"/>
      <c r="I196" s="68"/>
      <c r="J196" s="68"/>
      <c r="K196" s="67" t="s">
        <v>7440</v>
      </c>
      <c r="L196" s="71"/>
      <c r="M196" s="72"/>
      <c r="N196" s="72"/>
      <c r="O196" s="73"/>
      <c r="P196" s="74"/>
      <c r="Q196" s="74"/>
      <c r="R196" s="86"/>
      <c r="S196" s="86"/>
      <c r="T196" s="86"/>
      <c r="U196" s="86"/>
      <c r="V196" s="48"/>
      <c r="W196" s="48"/>
      <c r="X196" s="48"/>
      <c r="Y196" s="48"/>
      <c r="Z196" s="47"/>
      <c r="AA196" s="69">
        <v>196</v>
      </c>
      <c r="AB196" s="69"/>
      <c r="AC196" s="70"/>
      <c r="AD196" s="76" t="s">
        <v>6323</v>
      </c>
      <c r="AE196" s="81" t="s">
        <v>5989</v>
      </c>
      <c r="AF196" s="76">
        <v>0</v>
      </c>
      <c r="AG196" s="76">
        <v>4</v>
      </c>
      <c r="AH196" s="76">
        <v>42</v>
      </c>
      <c r="AI196" s="76">
        <v>0</v>
      </c>
      <c r="AJ196" s="76">
        <v>8</v>
      </c>
      <c r="AK196" s="76">
        <v>2</v>
      </c>
      <c r="AL196" s="76" t="b">
        <v>0</v>
      </c>
      <c r="AM196" s="78">
        <v>45046.743842592594</v>
      </c>
      <c r="AN196" s="76"/>
      <c r="AO196" s="76" t="s">
        <v>6845</v>
      </c>
      <c r="AP196" s="76"/>
      <c r="AQ196" s="76"/>
      <c r="AR196" s="76"/>
      <c r="AS196" s="83" t="str">
        <f>HYPERLINK("https://t.co/0b44HdBaYo")</f>
        <v>https://t.co/0b44HdBaYo</v>
      </c>
      <c r="AT196" s="83" t="str">
        <f>HYPERLINK("https://ev.braip.com/ref?pv=proej4gd&amp;af=afig15elj")</f>
        <v>https://ev.braip.com/ref?pv=proej4gd&amp;af=afig15elj</v>
      </c>
      <c r="AU196" s="76" t="s">
        <v>7235</v>
      </c>
      <c r="AV196" s="76"/>
      <c r="AW196" s="76"/>
      <c r="AX196" s="76" t="b">
        <v>0</v>
      </c>
      <c r="AY196" s="76"/>
      <c r="AZ196" s="76"/>
      <c r="BA196" s="76" t="b">
        <v>0</v>
      </c>
      <c r="BB196" s="76" t="b">
        <v>1</v>
      </c>
      <c r="BC196" s="76" t="b">
        <v>1</v>
      </c>
      <c r="BD196" s="76" t="b">
        <v>0</v>
      </c>
      <c r="BE196" s="76" t="b">
        <v>0</v>
      </c>
      <c r="BF196" s="76" t="b">
        <v>0</v>
      </c>
      <c r="BG196" s="76" t="b">
        <v>0</v>
      </c>
      <c r="BH196" s="83" t="str">
        <f>HYPERLINK("https://pbs.twimg.com/profile_banners/1652732216428855298/1682877293")</f>
        <v>https://pbs.twimg.com/profile_banners/1652732216428855298/1682877293</v>
      </c>
      <c r="BI196" s="76"/>
      <c r="BJ196" s="76" t="s">
        <v>7245</v>
      </c>
      <c r="BK196" s="76" t="b">
        <v>0</v>
      </c>
      <c r="BL196" s="76"/>
      <c r="BM196" s="76" t="s">
        <v>66</v>
      </c>
      <c r="BN196" s="76" t="s">
        <v>7247</v>
      </c>
      <c r="BO196" s="83" t="str">
        <f>HYPERLINK("https://twitter.com/moneeynahora")</f>
        <v>https://twitter.com/moneeynahora</v>
      </c>
      <c r="BP196" s="2"/>
    </row>
    <row r="197" spans="1:68" x14ac:dyDescent="0.25">
      <c r="A197" s="62" t="s">
        <v>410</v>
      </c>
      <c r="B197" s="63"/>
      <c r="C197" s="63"/>
      <c r="D197" s="64"/>
      <c r="E197" s="66"/>
      <c r="F197" s="102" t="str">
        <f>HYPERLINK("https://pbs.twimg.com/profile_images/1635068222520082433/XJfmiY0Q_normal.jpg")</f>
        <v>https://pbs.twimg.com/profile_images/1635068222520082433/XJfmiY0Q_normal.jpg</v>
      </c>
      <c r="G197" s="63"/>
      <c r="H197" s="67"/>
      <c r="I197" s="68"/>
      <c r="J197" s="68"/>
      <c r="K197" s="67" t="s">
        <v>7441</v>
      </c>
      <c r="L197" s="71"/>
      <c r="M197" s="72"/>
      <c r="N197" s="72"/>
      <c r="O197" s="73"/>
      <c r="P197" s="74"/>
      <c r="Q197" s="74"/>
      <c r="R197" s="86"/>
      <c r="S197" s="86"/>
      <c r="T197" s="86"/>
      <c r="U197" s="86"/>
      <c r="V197" s="48"/>
      <c r="W197" s="48"/>
      <c r="X197" s="48"/>
      <c r="Y197" s="48"/>
      <c r="Z197" s="47"/>
      <c r="AA197" s="69">
        <v>197</v>
      </c>
      <c r="AB197" s="69"/>
      <c r="AC197" s="70"/>
      <c r="AD197" s="76" t="s">
        <v>6324</v>
      </c>
      <c r="AE197" s="81" t="s">
        <v>5595</v>
      </c>
      <c r="AF197" s="76">
        <v>5</v>
      </c>
      <c r="AG197" s="76">
        <v>38</v>
      </c>
      <c r="AH197" s="76">
        <v>75</v>
      </c>
      <c r="AI197" s="76">
        <v>0</v>
      </c>
      <c r="AJ197" s="76">
        <v>744</v>
      </c>
      <c r="AK197" s="76">
        <v>14</v>
      </c>
      <c r="AL197" s="76" t="b">
        <v>0</v>
      </c>
      <c r="AM197" s="78">
        <v>44969.537002314813</v>
      </c>
      <c r="AN197" s="76"/>
      <c r="AO197" s="76" t="s">
        <v>6846</v>
      </c>
      <c r="AP197" s="76"/>
      <c r="AQ197" s="76"/>
      <c r="AR197" s="76"/>
      <c r="AS197" s="76"/>
      <c r="AT197" s="76"/>
      <c r="AU197" s="76"/>
      <c r="AV197" s="76">
        <v>1.63893288866925E+18</v>
      </c>
      <c r="AW197" s="76"/>
      <c r="AX197" s="76" t="b">
        <v>0</v>
      </c>
      <c r="AY197" s="76"/>
      <c r="AZ197" s="76"/>
      <c r="BA197" s="76" t="b">
        <v>0</v>
      </c>
      <c r="BB197" s="76" t="b">
        <v>1</v>
      </c>
      <c r="BC197" s="76" t="b">
        <v>1</v>
      </c>
      <c r="BD197" s="76" t="b">
        <v>0</v>
      </c>
      <c r="BE197" s="76" t="b">
        <v>0</v>
      </c>
      <c r="BF197" s="76" t="b">
        <v>0</v>
      </c>
      <c r="BG197" s="76" t="b">
        <v>0</v>
      </c>
      <c r="BH197" s="83" t="str">
        <f>HYPERLINK("https://pbs.twimg.com/profile_banners/1624753421231202305/1679879164")</f>
        <v>https://pbs.twimg.com/profile_banners/1624753421231202305/1679879164</v>
      </c>
      <c r="BI197" s="76"/>
      <c r="BJ197" s="76" t="s">
        <v>7245</v>
      </c>
      <c r="BK197" s="76" t="b">
        <v>0</v>
      </c>
      <c r="BL197" s="76"/>
      <c r="BM197" s="76" t="s">
        <v>66</v>
      </c>
      <c r="BN197" s="76" t="s">
        <v>7247</v>
      </c>
      <c r="BO197" s="83" t="str">
        <f>HYPERLINK("https://twitter.com/_oiisaias")</f>
        <v>https://twitter.com/_oiisaias</v>
      </c>
      <c r="BP197" s="2"/>
    </row>
    <row r="198" spans="1:68" x14ac:dyDescent="0.25">
      <c r="A198" s="62" t="s">
        <v>411</v>
      </c>
      <c r="B198" s="63"/>
      <c r="C198" s="63"/>
      <c r="D198" s="64"/>
      <c r="E198" s="66"/>
      <c r="F198" s="102" t="str">
        <f>HYPERLINK("https://pbs.twimg.com/profile_images/1272691553618755590/AGwT69Fm_normal.jpg")</f>
        <v>https://pbs.twimg.com/profile_images/1272691553618755590/AGwT69Fm_normal.jpg</v>
      </c>
      <c r="G198" s="63"/>
      <c r="H198" s="67"/>
      <c r="I198" s="68"/>
      <c r="J198" s="68"/>
      <c r="K198" s="67" t="s">
        <v>7442</v>
      </c>
      <c r="L198" s="71"/>
      <c r="M198" s="72"/>
      <c r="N198" s="72"/>
      <c r="O198" s="73"/>
      <c r="P198" s="74"/>
      <c r="Q198" s="74"/>
      <c r="R198" s="86"/>
      <c r="S198" s="86"/>
      <c r="T198" s="86"/>
      <c r="U198" s="86"/>
      <c r="V198" s="48"/>
      <c r="W198" s="48"/>
      <c r="X198" s="48"/>
      <c r="Y198" s="48"/>
      <c r="Z198" s="47"/>
      <c r="AA198" s="69">
        <v>198</v>
      </c>
      <c r="AB198" s="69"/>
      <c r="AC198" s="70"/>
      <c r="AD198" s="76" t="s">
        <v>6325</v>
      </c>
      <c r="AE198" s="81" t="s">
        <v>5990</v>
      </c>
      <c r="AF198" s="76">
        <v>7</v>
      </c>
      <c r="AG198" s="76">
        <v>47</v>
      </c>
      <c r="AH198" s="76">
        <v>92</v>
      </c>
      <c r="AI198" s="76">
        <v>0</v>
      </c>
      <c r="AJ198" s="76">
        <v>11</v>
      </c>
      <c r="AK198" s="76">
        <v>6</v>
      </c>
      <c r="AL198" s="76" t="b">
        <v>0</v>
      </c>
      <c r="AM198" s="78">
        <v>43998.030717592592</v>
      </c>
      <c r="AN198" s="76" t="s">
        <v>6625</v>
      </c>
      <c r="AO198" s="76" t="s">
        <v>6847</v>
      </c>
      <c r="AP198" s="76"/>
      <c r="AQ198" s="76"/>
      <c r="AR198" s="76"/>
      <c r="AS198" s="76"/>
      <c r="AT198" s="76"/>
      <c r="AU198" s="76"/>
      <c r="AV198" s="76">
        <v>1.6629923465128499E+18</v>
      </c>
      <c r="AW198" s="76"/>
      <c r="AX198" s="76" t="b">
        <v>0</v>
      </c>
      <c r="AY198" s="76"/>
      <c r="AZ198" s="76"/>
      <c r="BA198" s="76" t="b">
        <v>1</v>
      </c>
      <c r="BB198" s="76" t="b">
        <v>1</v>
      </c>
      <c r="BC198" s="76" t="b">
        <v>1</v>
      </c>
      <c r="BD198" s="76" t="b">
        <v>0</v>
      </c>
      <c r="BE198" s="76" t="b">
        <v>0</v>
      </c>
      <c r="BF198" s="76" t="b">
        <v>0</v>
      </c>
      <c r="BG198" s="76" t="b">
        <v>0</v>
      </c>
      <c r="BH198" s="83" t="str">
        <f>HYPERLINK("https://pbs.twimg.com/profile_banners/1272691383418138624/1685321461")</f>
        <v>https://pbs.twimg.com/profile_banners/1272691383418138624/1685321461</v>
      </c>
      <c r="BI198" s="76"/>
      <c r="BJ198" s="76" t="s">
        <v>7245</v>
      </c>
      <c r="BK198" s="76" t="b">
        <v>0</v>
      </c>
      <c r="BL198" s="76"/>
      <c r="BM198" s="76" t="s">
        <v>66</v>
      </c>
      <c r="BN198" s="76" t="s">
        <v>7247</v>
      </c>
      <c r="BO198" s="83" t="str">
        <f>HYPERLINK("https://twitter.com/netorebello1")</f>
        <v>https://twitter.com/netorebello1</v>
      </c>
      <c r="BP198" s="2"/>
    </row>
    <row r="199" spans="1:68" x14ac:dyDescent="0.25">
      <c r="A199" s="62" t="s">
        <v>412</v>
      </c>
      <c r="B199" s="63"/>
      <c r="C199" s="63"/>
      <c r="D199" s="64"/>
      <c r="E199" s="66"/>
      <c r="F199" s="102" t="str">
        <f>HYPERLINK("https://pbs.twimg.com/profile_images/1630412283196104707/h-K3Qe9Y_normal.jpg")</f>
        <v>https://pbs.twimg.com/profile_images/1630412283196104707/h-K3Qe9Y_normal.jpg</v>
      </c>
      <c r="G199" s="63"/>
      <c r="H199" s="67"/>
      <c r="I199" s="68"/>
      <c r="J199" s="68"/>
      <c r="K199" s="67" t="s">
        <v>7443</v>
      </c>
      <c r="L199" s="71"/>
      <c r="M199" s="72"/>
      <c r="N199" s="72"/>
      <c r="O199" s="73"/>
      <c r="P199" s="74"/>
      <c r="Q199" s="74"/>
      <c r="R199" s="86"/>
      <c r="S199" s="86"/>
      <c r="T199" s="86"/>
      <c r="U199" s="86"/>
      <c r="V199" s="48"/>
      <c r="W199" s="48"/>
      <c r="X199" s="48"/>
      <c r="Y199" s="48"/>
      <c r="Z199" s="47"/>
      <c r="AA199" s="69">
        <v>199</v>
      </c>
      <c r="AB199" s="69"/>
      <c r="AC199" s="70"/>
      <c r="AD199" s="76" t="s">
        <v>6326</v>
      </c>
      <c r="AE199" s="81" t="s">
        <v>5991</v>
      </c>
      <c r="AF199" s="76">
        <v>3</v>
      </c>
      <c r="AG199" s="76">
        <v>69</v>
      </c>
      <c r="AH199" s="76">
        <v>9</v>
      </c>
      <c r="AI199" s="76">
        <v>0</v>
      </c>
      <c r="AJ199" s="76">
        <v>8</v>
      </c>
      <c r="AK199" s="76">
        <v>9</v>
      </c>
      <c r="AL199" s="76" t="b">
        <v>0</v>
      </c>
      <c r="AM199" s="78">
        <v>44985.13795138889</v>
      </c>
      <c r="AN199" s="76"/>
      <c r="AO199" s="76" t="s">
        <v>6848</v>
      </c>
      <c r="AP199" s="83" t="str">
        <f>HYPERLINK("https://t.co/0wJqGH45Y4")</f>
        <v>https://t.co/0wJqGH45Y4</v>
      </c>
      <c r="AQ199" s="83" t="str">
        <f>HYPERLINK("https://espectrodenegocios.blogspot.com/?m=1")</f>
        <v>https://espectrodenegocios.blogspot.com/?m=1</v>
      </c>
      <c r="AR199" s="76" t="s">
        <v>7105</v>
      </c>
      <c r="AS199" s="76"/>
      <c r="AT199" s="76"/>
      <c r="AU199" s="76"/>
      <c r="AV199" s="76"/>
      <c r="AW199" s="83" t="str">
        <f>HYPERLINK("https://t.co/0wJqGH45Y4")</f>
        <v>https://t.co/0wJqGH45Y4</v>
      </c>
      <c r="AX199" s="76" t="b">
        <v>0</v>
      </c>
      <c r="AY199" s="76"/>
      <c r="AZ199" s="76"/>
      <c r="BA199" s="76" t="b">
        <v>0</v>
      </c>
      <c r="BB199" s="76" t="b">
        <v>1</v>
      </c>
      <c r="BC199" s="76" t="b">
        <v>1</v>
      </c>
      <c r="BD199" s="76" t="b">
        <v>0</v>
      </c>
      <c r="BE199" s="76" t="b">
        <v>0</v>
      </c>
      <c r="BF199" s="76" t="b">
        <v>0</v>
      </c>
      <c r="BG199" s="76" t="b">
        <v>0</v>
      </c>
      <c r="BH199" s="83" t="str">
        <f>HYPERLINK("https://pbs.twimg.com/profile_banners/1630406848095440897/1677555554")</f>
        <v>https://pbs.twimg.com/profile_banners/1630406848095440897/1677555554</v>
      </c>
      <c r="BI199" s="76"/>
      <c r="BJ199" s="76" t="s">
        <v>7245</v>
      </c>
      <c r="BK199" s="76" t="b">
        <v>0</v>
      </c>
      <c r="BL199" s="76"/>
      <c r="BM199" s="76" t="s">
        <v>66</v>
      </c>
      <c r="BN199" s="76" t="s">
        <v>7247</v>
      </c>
      <c r="BO199" s="83" t="str">
        <f>HYPERLINK("https://twitter.com/esp_de_negocios")</f>
        <v>https://twitter.com/esp_de_negocios</v>
      </c>
      <c r="BP199" s="2"/>
    </row>
    <row r="200" spans="1:68" x14ac:dyDescent="0.25">
      <c r="A200" s="62" t="s">
        <v>413</v>
      </c>
      <c r="B200" s="63"/>
      <c r="C200" s="63"/>
      <c r="D200" s="64"/>
      <c r="E200" s="66"/>
      <c r="F200" s="102" t="str">
        <f>HYPERLINK("https://pbs.twimg.com/profile_images/978589356024885248/FFFA1pj2_normal.jpg")</f>
        <v>https://pbs.twimg.com/profile_images/978589356024885248/FFFA1pj2_normal.jpg</v>
      </c>
      <c r="G200" s="63"/>
      <c r="H200" s="67"/>
      <c r="I200" s="68"/>
      <c r="J200" s="68"/>
      <c r="K200" s="67" t="s">
        <v>7444</v>
      </c>
      <c r="L200" s="71"/>
      <c r="M200" s="72"/>
      <c r="N200" s="72"/>
      <c r="O200" s="73"/>
      <c r="P200" s="74"/>
      <c r="Q200" s="74"/>
      <c r="R200" s="86"/>
      <c r="S200" s="86"/>
      <c r="T200" s="86"/>
      <c r="U200" s="86"/>
      <c r="V200" s="48"/>
      <c r="W200" s="48"/>
      <c r="X200" s="48"/>
      <c r="Y200" s="48"/>
      <c r="Z200" s="47"/>
      <c r="AA200" s="69">
        <v>200</v>
      </c>
      <c r="AB200" s="69"/>
      <c r="AC200" s="70"/>
      <c r="AD200" s="76" t="s">
        <v>6327</v>
      </c>
      <c r="AE200" s="81" t="s">
        <v>6518</v>
      </c>
      <c r="AF200" s="76">
        <v>5505</v>
      </c>
      <c r="AG200" s="76">
        <v>12</v>
      </c>
      <c r="AH200" s="76">
        <v>1816</v>
      </c>
      <c r="AI200" s="76">
        <v>33</v>
      </c>
      <c r="AJ200" s="76">
        <v>1292</v>
      </c>
      <c r="AK200" s="76">
        <v>868</v>
      </c>
      <c r="AL200" s="76" t="b">
        <v>0</v>
      </c>
      <c r="AM200" s="78">
        <v>42367.802939814814</v>
      </c>
      <c r="AN200" s="76" t="s">
        <v>6626</v>
      </c>
      <c r="AO200" s="76" t="s">
        <v>6849</v>
      </c>
      <c r="AP200" s="83" t="str">
        <f>HYPERLINK("https://t.co/mzUGrBm7qs")</f>
        <v>https://t.co/mzUGrBm7qs</v>
      </c>
      <c r="AQ200" s="83" t="str">
        <f>HYPERLINK("http://www.pawealth.in")</f>
        <v>http://www.pawealth.in</v>
      </c>
      <c r="AR200" s="76" t="s">
        <v>7106</v>
      </c>
      <c r="AS200" s="76"/>
      <c r="AT200" s="76"/>
      <c r="AU200" s="76"/>
      <c r="AV200" s="76">
        <v>1.12162796127317E+18</v>
      </c>
      <c r="AW200" s="83" t="str">
        <f>HYPERLINK("https://t.co/mzUGrBm7qs")</f>
        <v>https://t.co/mzUGrBm7qs</v>
      </c>
      <c r="AX200" s="76" t="b">
        <v>0</v>
      </c>
      <c r="AY200" s="76"/>
      <c r="AZ200" s="76"/>
      <c r="BA200" s="76" t="b">
        <v>1</v>
      </c>
      <c r="BB200" s="76" t="b">
        <v>1</v>
      </c>
      <c r="BC200" s="76" t="b">
        <v>1</v>
      </c>
      <c r="BD200" s="76" t="b">
        <v>0</v>
      </c>
      <c r="BE200" s="76" t="b">
        <v>1</v>
      </c>
      <c r="BF200" s="76" t="b">
        <v>0</v>
      </c>
      <c r="BG200" s="76" t="b">
        <v>0</v>
      </c>
      <c r="BH200" s="83" t="str">
        <f>HYPERLINK("https://pbs.twimg.com/profile_banners/4674174732/1621608335")</f>
        <v>https://pbs.twimg.com/profile_banners/4674174732/1621608335</v>
      </c>
      <c r="BI200" s="76"/>
      <c r="BJ200" s="76" t="s">
        <v>7245</v>
      </c>
      <c r="BK200" s="76" t="b">
        <v>0</v>
      </c>
      <c r="BL200" s="76"/>
      <c r="BM200" s="76" t="s">
        <v>66</v>
      </c>
      <c r="BN200" s="76" t="s">
        <v>7247</v>
      </c>
      <c r="BO200" s="83" t="str">
        <f>HYPERLINK("https://twitter.com/pawealthh")</f>
        <v>https://twitter.com/pawealthh</v>
      </c>
      <c r="BP200" s="2"/>
    </row>
    <row r="201" spans="1:68" x14ac:dyDescent="0.25">
      <c r="A201" s="62" t="s">
        <v>572</v>
      </c>
      <c r="B201" s="63"/>
      <c r="C201" s="63"/>
      <c r="D201" s="64"/>
      <c r="E201" s="66"/>
      <c r="F201" s="102" t="str">
        <f>HYPERLINK("https://pbs.twimg.com/profile_images/1514494162648764418/ZRWfXTN7_normal.jpg")</f>
        <v>https://pbs.twimg.com/profile_images/1514494162648764418/ZRWfXTN7_normal.jpg</v>
      </c>
      <c r="G201" s="63"/>
      <c r="H201" s="67"/>
      <c r="I201" s="68"/>
      <c r="J201" s="68"/>
      <c r="K201" s="67" t="s">
        <v>7445</v>
      </c>
      <c r="L201" s="71"/>
      <c r="M201" s="72"/>
      <c r="N201" s="72"/>
      <c r="O201" s="73"/>
      <c r="P201" s="74"/>
      <c r="Q201" s="74"/>
      <c r="R201" s="86"/>
      <c r="S201" s="86"/>
      <c r="T201" s="86"/>
      <c r="U201" s="86"/>
      <c r="V201" s="48"/>
      <c r="W201" s="48"/>
      <c r="X201" s="48"/>
      <c r="Y201" s="48"/>
      <c r="Z201" s="47"/>
      <c r="AA201" s="69">
        <v>201</v>
      </c>
      <c r="AB201" s="69"/>
      <c r="AC201" s="70"/>
      <c r="AD201" s="76" t="s">
        <v>6328</v>
      </c>
      <c r="AE201" s="81" t="s">
        <v>6519</v>
      </c>
      <c r="AF201" s="76">
        <v>13989</v>
      </c>
      <c r="AG201" s="76">
        <v>78</v>
      </c>
      <c r="AH201" s="76">
        <v>2009</v>
      </c>
      <c r="AI201" s="76">
        <v>79</v>
      </c>
      <c r="AJ201" s="76">
        <v>1710</v>
      </c>
      <c r="AK201" s="76">
        <v>623</v>
      </c>
      <c r="AL201" s="76" t="b">
        <v>0</v>
      </c>
      <c r="AM201" s="78">
        <v>42323.472534722219</v>
      </c>
      <c r="AN201" s="76" t="s">
        <v>6627</v>
      </c>
      <c r="AO201" s="76" t="s">
        <v>6850</v>
      </c>
      <c r="AP201" s="83" t="str">
        <f>HYPERLINK("https://t.co/OPmzv5nO69")</f>
        <v>https://t.co/OPmzv5nO69</v>
      </c>
      <c r="AQ201" s="83" t="str">
        <f>HYPERLINK("http://blog.pawealth.in")</f>
        <v>http://blog.pawealth.in</v>
      </c>
      <c r="AR201" s="76" t="s">
        <v>7107</v>
      </c>
      <c r="AS201" s="76"/>
      <c r="AT201" s="76"/>
      <c r="AU201" s="76"/>
      <c r="AV201" s="76">
        <v>6.8151833765479603E+17</v>
      </c>
      <c r="AW201" s="83" t="str">
        <f>HYPERLINK("https://t.co/OPmzv5nO69")</f>
        <v>https://t.co/OPmzv5nO69</v>
      </c>
      <c r="AX201" s="76" t="b">
        <v>0</v>
      </c>
      <c r="AY201" s="76"/>
      <c r="AZ201" s="76"/>
      <c r="BA201" s="76" t="b">
        <v>1</v>
      </c>
      <c r="BB201" s="76" t="b">
        <v>1</v>
      </c>
      <c r="BC201" s="76" t="b">
        <v>1</v>
      </c>
      <c r="BD201" s="76" t="b">
        <v>0</v>
      </c>
      <c r="BE201" s="76" t="b">
        <v>1</v>
      </c>
      <c r="BF201" s="76" t="b">
        <v>0</v>
      </c>
      <c r="BG201" s="76" t="b">
        <v>0</v>
      </c>
      <c r="BH201" s="83" t="str">
        <f>HYPERLINK("https://pbs.twimg.com/profile_banners/4245046753/1627569888")</f>
        <v>https://pbs.twimg.com/profile_banners/4245046753/1627569888</v>
      </c>
      <c r="BI201" s="76"/>
      <c r="BJ201" s="76" t="s">
        <v>7245</v>
      </c>
      <c r="BK201" s="76" t="b">
        <v>0</v>
      </c>
      <c r="BL201" s="76"/>
      <c r="BM201" s="76" t="s">
        <v>65</v>
      </c>
      <c r="BN201" s="76" t="s">
        <v>7247</v>
      </c>
      <c r="BO201" s="83" t="str">
        <f>HYPERLINK("https://twitter.com/parasbehl7")</f>
        <v>https://twitter.com/parasbehl7</v>
      </c>
      <c r="BP201" s="2"/>
    </row>
    <row r="202" spans="1:68" x14ac:dyDescent="0.25">
      <c r="A202" s="62" t="s">
        <v>414</v>
      </c>
      <c r="B202" s="63"/>
      <c r="C202" s="63"/>
      <c r="D202" s="64"/>
      <c r="E202" s="66"/>
      <c r="F202" s="102" t="str">
        <f>HYPERLINK("https://pbs.twimg.com/profile_images/1637891581356154901/RWyjbvvl_normal.jpg")</f>
        <v>https://pbs.twimg.com/profile_images/1637891581356154901/RWyjbvvl_normal.jpg</v>
      </c>
      <c r="G202" s="63"/>
      <c r="H202" s="67"/>
      <c r="I202" s="68"/>
      <c r="J202" s="68"/>
      <c r="K202" s="67" t="s">
        <v>7446</v>
      </c>
      <c r="L202" s="71"/>
      <c r="M202" s="72"/>
      <c r="N202" s="72"/>
      <c r="O202" s="73"/>
      <c r="P202" s="74"/>
      <c r="Q202" s="74"/>
      <c r="R202" s="86"/>
      <c r="S202" s="86"/>
      <c r="T202" s="86"/>
      <c r="U202" s="86"/>
      <c r="V202" s="48"/>
      <c r="W202" s="48"/>
      <c r="X202" s="48"/>
      <c r="Y202" s="48"/>
      <c r="Z202" s="47"/>
      <c r="AA202" s="69">
        <v>202</v>
      </c>
      <c r="AB202" s="69"/>
      <c r="AC202" s="70"/>
      <c r="AD202" s="76" t="s">
        <v>6329</v>
      </c>
      <c r="AE202" s="81" t="s">
        <v>5992</v>
      </c>
      <c r="AF202" s="76">
        <v>0</v>
      </c>
      <c r="AG202" s="76">
        <v>16</v>
      </c>
      <c r="AH202" s="76">
        <v>5</v>
      </c>
      <c r="AI202" s="76">
        <v>0</v>
      </c>
      <c r="AJ202" s="76">
        <v>0</v>
      </c>
      <c r="AK202" s="76">
        <v>5</v>
      </c>
      <c r="AL202" s="76" t="b">
        <v>0</v>
      </c>
      <c r="AM202" s="78">
        <v>45005.756562499999</v>
      </c>
      <c r="AN202" s="76"/>
      <c r="AO202" s="76"/>
      <c r="AP202" s="76"/>
      <c r="AQ202" s="76"/>
      <c r="AR202" s="76"/>
      <c r="AS202" s="76"/>
      <c r="AT202" s="76"/>
      <c r="AU202" s="76"/>
      <c r="AV202" s="76"/>
      <c r="AW202" s="76"/>
      <c r="AX202" s="76" t="b">
        <v>0</v>
      </c>
      <c r="AY202" s="76"/>
      <c r="AZ202" s="76"/>
      <c r="BA202" s="76" t="b">
        <v>0</v>
      </c>
      <c r="BB202" s="76" t="b">
        <v>1</v>
      </c>
      <c r="BC202" s="76" t="b">
        <v>1</v>
      </c>
      <c r="BD202" s="76" t="b">
        <v>0</v>
      </c>
      <c r="BE202" s="76" t="b">
        <v>0</v>
      </c>
      <c r="BF202" s="76" t="b">
        <v>0</v>
      </c>
      <c r="BG202" s="76" t="b">
        <v>0</v>
      </c>
      <c r="BH202" s="76"/>
      <c r="BI202" s="76"/>
      <c r="BJ202" s="76" t="s">
        <v>7245</v>
      </c>
      <c r="BK202" s="76" t="b">
        <v>0</v>
      </c>
      <c r="BL202" s="76"/>
      <c r="BM202" s="76" t="s">
        <v>66</v>
      </c>
      <c r="BN202" s="76" t="s">
        <v>7247</v>
      </c>
      <c r="BO202" s="83" t="str">
        <f>HYPERLINK("https://twitter.com/estrang_invest")</f>
        <v>https://twitter.com/estrang_invest</v>
      </c>
      <c r="BP202" s="2"/>
    </row>
    <row r="203" spans="1:68" x14ac:dyDescent="0.25">
      <c r="A203" s="62" t="s">
        <v>415</v>
      </c>
      <c r="B203" s="63"/>
      <c r="C203" s="63"/>
      <c r="D203" s="64"/>
      <c r="E203" s="66"/>
      <c r="F203" s="102" t="str">
        <f>HYPERLINK("https://pbs.twimg.com/profile_images/1701440005170692096/_XuyX5Kd_normal.jpg")</f>
        <v>https://pbs.twimg.com/profile_images/1701440005170692096/_XuyX5Kd_normal.jpg</v>
      </c>
      <c r="G203" s="63"/>
      <c r="H203" s="67"/>
      <c r="I203" s="68"/>
      <c r="J203" s="68"/>
      <c r="K203" s="67" t="s">
        <v>7447</v>
      </c>
      <c r="L203" s="71"/>
      <c r="M203" s="72"/>
      <c r="N203" s="72"/>
      <c r="O203" s="73"/>
      <c r="P203" s="74"/>
      <c r="Q203" s="74"/>
      <c r="R203" s="86"/>
      <c r="S203" s="86"/>
      <c r="T203" s="86"/>
      <c r="U203" s="86"/>
      <c r="V203" s="48"/>
      <c r="W203" s="48"/>
      <c r="X203" s="48"/>
      <c r="Y203" s="48"/>
      <c r="Z203" s="47"/>
      <c r="AA203" s="69">
        <v>203</v>
      </c>
      <c r="AB203" s="69"/>
      <c r="AC203" s="70"/>
      <c r="AD203" s="76" t="s">
        <v>415</v>
      </c>
      <c r="AE203" s="81" t="s">
        <v>5993</v>
      </c>
      <c r="AF203" s="76">
        <v>3</v>
      </c>
      <c r="AG203" s="76">
        <v>37</v>
      </c>
      <c r="AH203" s="76">
        <v>11</v>
      </c>
      <c r="AI203" s="76">
        <v>0</v>
      </c>
      <c r="AJ203" s="76">
        <v>0</v>
      </c>
      <c r="AK203" s="76">
        <v>3</v>
      </c>
      <c r="AL203" s="76" t="b">
        <v>0</v>
      </c>
      <c r="AM203" s="78">
        <v>45128.555127314816</v>
      </c>
      <c r="AN203" s="76"/>
      <c r="AO203" s="76" t="s">
        <v>6851</v>
      </c>
      <c r="AP203" s="83" t="str">
        <f>HYPERLINK("https://t.co/f1XiXBKLbx")</f>
        <v>https://t.co/f1XiXBKLbx</v>
      </c>
      <c r="AQ203" s="83" t="str">
        <f>HYPERLINK("https://linktr.ee/pedromar1noo")</f>
        <v>https://linktr.ee/pedromar1noo</v>
      </c>
      <c r="AR203" s="76" t="s">
        <v>7108</v>
      </c>
      <c r="AS203" s="76"/>
      <c r="AT203" s="76"/>
      <c r="AU203" s="76"/>
      <c r="AV203" s="76"/>
      <c r="AW203" s="83" t="str">
        <f>HYPERLINK("https://t.co/f1XiXBKLbx")</f>
        <v>https://t.co/f1XiXBKLbx</v>
      </c>
      <c r="AX203" s="76" t="b">
        <v>0</v>
      </c>
      <c r="AY203" s="76"/>
      <c r="AZ203" s="76"/>
      <c r="BA203" s="76" t="b">
        <v>0</v>
      </c>
      <c r="BB203" s="76" t="b">
        <v>1</v>
      </c>
      <c r="BC203" s="76" t="b">
        <v>1</v>
      </c>
      <c r="BD203" s="76" t="b">
        <v>0</v>
      </c>
      <c r="BE203" s="76" t="b">
        <v>0</v>
      </c>
      <c r="BF203" s="76" t="b">
        <v>0</v>
      </c>
      <c r="BG203" s="76" t="b">
        <v>0</v>
      </c>
      <c r="BH203" s="76"/>
      <c r="BI203" s="76"/>
      <c r="BJ203" s="76" t="s">
        <v>7245</v>
      </c>
      <c r="BK203" s="76" t="b">
        <v>0</v>
      </c>
      <c r="BL203" s="76"/>
      <c r="BM203" s="76" t="s">
        <v>66</v>
      </c>
      <c r="BN203" s="76" t="s">
        <v>7247</v>
      </c>
      <c r="BO203" s="83" t="str">
        <f>HYPERLINK("https://twitter.com/pedromar1no")</f>
        <v>https://twitter.com/pedromar1no</v>
      </c>
      <c r="BP203" s="2"/>
    </row>
    <row r="204" spans="1:68" x14ac:dyDescent="0.25">
      <c r="A204" s="62" t="s">
        <v>416</v>
      </c>
      <c r="B204" s="63"/>
      <c r="C204" s="63"/>
      <c r="D204" s="64"/>
      <c r="E204" s="66"/>
      <c r="F204" s="102" t="str">
        <f>HYPERLINK("https://pbs.twimg.com/profile_images/1064212340822941697/4ExMwrT__normal.jpg")</f>
        <v>https://pbs.twimg.com/profile_images/1064212340822941697/4ExMwrT__normal.jpg</v>
      </c>
      <c r="G204" s="63"/>
      <c r="H204" s="67"/>
      <c r="I204" s="68"/>
      <c r="J204" s="68"/>
      <c r="K204" s="67" t="s">
        <v>7448</v>
      </c>
      <c r="L204" s="71"/>
      <c r="M204" s="72"/>
      <c r="N204" s="72"/>
      <c r="O204" s="73"/>
      <c r="P204" s="74"/>
      <c r="Q204" s="74"/>
      <c r="R204" s="86"/>
      <c r="S204" s="86"/>
      <c r="T204" s="86"/>
      <c r="U204" s="86"/>
      <c r="V204" s="48"/>
      <c r="W204" s="48"/>
      <c r="X204" s="48"/>
      <c r="Y204" s="48"/>
      <c r="Z204" s="47"/>
      <c r="AA204" s="69">
        <v>204</v>
      </c>
      <c r="AB204" s="69"/>
      <c r="AC204" s="70"/>
      <c r="AD204" s="76" t="s">
        <v>6330</v>
      </c>
      <c r="AE204" s="81" t="s">
        <v>6520</v>
      </c>
      <c r="AF204" s="76">
        <v>506</v>
      </c>
      <c r="AG204" s="76">
        <v>548</v>
      </c>
      <c r="AH204" s="76">
        <v>3809</v>
      </c>
      <c r="AI204" s="76">
        <v>9</v>
      </c>
      <c r="AJ204" s="76">
        <v>27</v>
      </c>
      <c r="AK204" s="76">
        <v>131</v>
      </c>
      <c r="AL204" s="76" t="b">
        <v>0</v>
      </c>
      <c r="AM204" s="78">
        <v>40174.936724537038</v>
      </c>
      <c r="AN204" s="76" t="s">
        <v>3752</v>
      </c>
      <c r="AO204" s="76" t="s">
        <v>6852</v>
      </c>
      <c r="AP204" s="83" t="str">
        <f>HYPERLINK("https://t.co/TItSUqEBkZ")</f>
        <v>https://t.co/TItSUqEBkZ</v>
      </c>
      <c r="AQ204" s="83" t="str">
        <f>HYPERLINK("http://www.joanarodrigues.com.br")</f>
        <v>http://www.joanarodrigues.com.br</v>
      </c>
      <c r="AR204" s="76" t="s">
        <v>7109</v>
      </c>
      <c r="AS204" s="76"/>
      <c r="AT204" s="76"/>
      <c r="AU204" s="76"/>
      <c r="AV204" s="76"/>
      <c r="AW204" s="83" t="str">
        <f>HYPERLINK("https://t.co/TItSUqEBkZ")</f>
        <v>https://t.co/TItSUqEBkZ</v>
      </c>
      <c r="AX204" s="76" t="b">
        <v>0</v>
      </c>
      <c r="AY204" s="76"/>
      <c r="AZ204" s="76"/>
      <c r="BA204" s="76" t="b">
        <v>0</v>
      </c>
      <c r="BB204" s="76" t="b">
        <v>1</v>
      </c>
      <c r="BC204" s="76" t="b">
        <v>0</v>
      </c>
      <c r="BD204" s="76" t="b">
        <v>0</v>
      </c>
      <c r="BE204" s="76" t="b">
        <v>0</v>
      </c>
      <c r="BF204" s="76" t="b">
        <v>0</v>
      </c>
      <c r="BG204" s="76" t="b">
        <v>0</v>
      </c>
      <c r="BH204" s="83" t="str">
        <f>HYPERLINK("https://pbs.twimg.com/profile_banners/99797001/1576286152")</f>
        <v>https://pbs.twimg.com/profile_banners/99797001/1576286152</v>
      </c>
      <c r="BI204" s="76"/>
      <c r="BJ204" s="76" t="s">
        <v>7245</v>
      </c>
      <c r="BK204" s="76" t="b">
        <v>0</v>
      </c>
      <c r="BL204" s="76"/>
      <c r="BM204" s="76" t="s">
        <v>66</v>
      </c>
      <c r="BN204" s="76" t="s">
        <v>7247</v>
      </c>
      <c r="BO204" s="83" t="str">
        <f>HYPERLINK("https://twitter.com/poetisajoana")</f>
        <v>https://twitter.com/poetisajoana</v>
      </c>
      <c r="BP204" s="2"/>
    </row>
    <row r="205" spans="1:68" x14ac:dyDescent="0.25">
      <c r="A205" s="62" t="s">
        <v>573</v>
      </c>
      <c r="B205" s="63"/>
      <c r="C205" s="63"/>
      <c r="D205" s="64"/>
      <c r="E205" s="66"/>
      <c r="F205" s="102" t="str">
        <f>HYPERLINK("https://abs.twimg.com/sticky/default_profile_images/default_profile_normal.png")</f>
        <v>https://abs.twimg.com/sticky/default_profile_images/default_profile_normal.png</v>
      </c>
      <c r="G205" s="63"/>
      <c r="H205" s="67"/>
      <c r="I205" s="68"/>
      <c r="J205" s="68"/>
      <c r="K205" s="67" t="s">
        <v>7449</v>
      </c>
      <c r="L205" s="71"/>
      <c r="M205" s="72"/>
      <c r="N205" s="72"/>
      <c r="O205" s="73"/>
      <c r="P205" s="74"/>
      <c r="Q205" s="74"/>
      <c r="R205" s="86"/>
      <c r="S205" s="86"/>
      <c r="T205" s="86"/>
      <c r="U205" s="86"/>
      <c r="V205" s="48"/>
      <c r="W205" s="48"/>
      <c r="X205" s="48"/>
      <c r="Y205" s="48"/>
      <c r="Z205" s="47"/>
      <c r="AA205" s="69">
        <v>205</v>
      </c>
      <c r="AB205" s="69"/>
      <c r="AC205" s="70"/>
      <c r="AD205" s="76" t="s">
        <v>6331</v>
      </c>
      <c r="AE205" s="81" t="s">
        <v>6521</v>
      </c>
      <c r="AF205" s="76">
        <v>4</v>
      </c>
      <c r="AG205" s="76">
        <v>5</v>
      </c>
      <c r="AH205" s="76">
        <v>3</v>
      </c>
      <c r="AI205" s="76">
        <v>0</v>
      </c>
      <c r="AJ205" s="76">
        <v>0</v>
      </c>
      <c r="AK205" s="76">
        <v>0</v>
      </c>
      <c r="AL205" s="76" t="b">
        <v>0</v>
      </c>
      <c r="AM205" s="78">
        <v>40985.538055555553</v>
      </c>
      <c r="AN205" s="76"/>
      <c r="AO205" s="76"/>
      <c r="AP205" s="76"/>
      <c r="AQ205" s="76"/>
      <c r="AR205" s="76"/>
      <c r="AS205" s="76"/>
      <c r="AT205" s="76"/>
      <c r="AU205" s="76"/>
      <c r="AV205" s="76"/>
      <c r="AW205" s="76"/>
      <c r="AX205" s="76" t="b">
        <v>0</v>
      </c>
      <c r="AY205" s="76"/>
      <c r="AZ205" s="76"/>
      <c r="BA205" s="76" t="b">
        <v>0</v>
      </c>
      <c r="BB205" s="76" t="b">
        <v>1</v>
      </c>
      <c r="BC205" s="76" t="b">
        <v>1</v>
      </c>
      <c r="BD205" s="76" t="b">
        <v>1</v>
      </c>
      <c r="BE205" s="76" t="b">
        <v>0</v>
      </c>
      <c r="BF205" s="76" t="b">
        <v>0</v>
      </c>
      <c r="BG205" s="76" t="b">
        <v>0</v>
      </c>
      <c r="BH205" s="76"/>
      <c r="BI205" s="76"/>
      <c r="BJ205" s="76" t="s">
        <v>7245</v>
      </c>
      <c r="BK205" s="76" t="b">
        <v>0</v>
      </c>
      <c r="BL205" s="76"/>
      <c r="BM205" s="76" t="s">
        <v>65</v>
      </c>
      <c r="BN205" s="76" t="s">
        <v>7247</v>
      </c>
      <c r="BO205" s="83" t="str">
        <f>HYPERLINK("https://twitter.com/pensadoroficial")</f>
        <v>https://twitter.com/pensadoroficial</v>
      </c>
      <c r="BP205" s="2"/>
    </row>
    <row r="206" spans="1:68" x14ac:dyDescent="0.25">
      <c r="A206" s="62" t="s">
        <v>417</v>
      </c>
      <c r="B206" s="63"/>
      <c r="C206" s="63"/>
      <c r="D206" s="64"/>
      <c r="E206" s="66"/>
      <c r="F206" s="102" t="str">
        <f>HYPERLINK("https://pbs.twimg.com/profile_images/1692962620855250944/qollIU1y_normal.jpg")</f>
        <v>https://pbs.twimg.com/profile_images/1692962620855250944/qollIU1y_normal.jpg</v>
      </c>
      <c r="G206" s="63"/>
      <c r="H206" s="67"/>
      <c r="I206" s="68"/>
      <c r="J206" s="68"/>
      <c r="K206" s="67" t="s">
        <v>7450</v>
      </c>
      <c r="L206" s="71"/>
      <c r="M206" s="72"/>
      <c r="N206" s="72"/>
      <c r="O206" s="73"/>
      <c r="P206" s="74"/>
      <c r="Q206" s="74"/>
      <c r="R206" s="86"/>
      <c r="S206" s="86"/>
      <c r="T206" s="86"/>
      <c r="U206" s="86"/>
      <c r="V206" s="48"/>
      <c r="W206" s="48"/>
      <c r="X206" s="48"/>
      <c r="Y206" s="48"/>
      <c r="Z206" s="47"/>
      <c r="AA206" s="69">
        <v>206</v>
      </c>
      <c r="AB206" s="69"/>
      <c r="AC206" s="70"/>
      <c r="AD206" s="76" t="s">
        <v>6332</v>
      </c>
      <c r="AE206" s="81" t="s">
        <v>5994</v>
      </c>
      <c r="AF206" s="76">
        <v>14</v>
      </c>
      <c r="AG206" s="76">
        <v>99</v>
      </c>
      <c r="AH206" s="76">
        <v>1192</v>
      </c>
      <c r="AI206" s="76">
        <v>0</v>
      </c>
      <c r="AJ206" s="76">
        <v>6358</v>
      </c>
      <c r="AK206" s="76">
        <v>146</v>
      </c>
      <c r="AL206" s="76" t="b">
        <v>0</v>
      </c>
      <c r="AM206" s="78">
        <v>44560.809479166666</v>
      </c>
      <c r="AN206" s="76"/>
      <c r="AO206" s="76" t="s">
        <v>6853</v>
      </c>
      <c r="AP206" s="76"/>
      <c r="AQ206" s="76"/>
      <c r="AR206" s="76"/>
      <c r="AS206" s="76"/>
      <c r="AT206" s="76"/>
      <c r="AU206" s="76"/>
      <c r="AV206" s="76">
        <v>1.6959088272652101E+18</v>
      </c>
      <c r="AW206" s="76"/>
      <c r="AX206" s="76" t="b">
        <v>0</v>
      </c>
      <c r="AY206" s="76"/>
      <c r="AZ206" s="76"/>
      <c r="BA206" s="76" t="b">
        <v>0</v>
      </c>
      <c r="BB206" s="76" t="b">
        <v>0</v>
      </c>
      <c r="BC206" s="76" t="b">
        <v>1</v>
      </c>
      <c r="BD206" s="76" t="b">
        <v>0</v>
      </c>
      <c r="BE206" s="76" t="b">
        <v>1</v>
      </c>
      <c r="BF206" s="76" t="b">
        <v>0</v>
      </c>
      <c r="BG206" s="76" t="b">
        <v>0</v>
      </c>
      <c r="BH206" s="83" t="str">
        <f>HYPERLINK("https://pbs.twimg.com/profile_banners/1476635490124288002/1692468847")</f>
        <v>https://pbs.twimg.com/profile_banners/1476635490124288002/1692468847</v>
      </c>
      <c r="BI206" s="76"/>
      <c r="BJ206" s="76" t="s">
        <v>7245</v>
      </c>
      <c r="BK206" s="76" t="b">
        <v>0</v>
      </c>
      <c r="BL206" s="76"/>
      <c r="BM206" s="76" t="s">
        <v>66</v>
      </c>
      <c r="BN206" s="76" t="s">
        <v>7247</v>
      </c>
      <c r="BO206" s="83" t="str">
        <f>HYPERLINK("https://twitter.com/raineliprado")</f>
        <v>https://twitter.com/raineliprado</v>
      </c>
      <c r="BP206" s="2"/>
    </row>
    <row r="207" spans="1:68" x14ac:dyDescent="0.25">
      <c r="A207" s="62" t="s">
        <v>418</v>
      </c>
      <c r="B207" s="63"/>
      <c r="C207" s="63"/>
      <c r="D207" s="64"/>
      <c r="E207" s="66"/>
      <c r="F207" s="102" t="str">
        <f>HYPERLINK("https://pbs.twimg.com/profile_images/1638555528002404354/zYyRgIoe_normal.jpg")</f>
        <v>https://pbs.twimg.com/profile_images/1638555528002404354/zYyRgIoe_normal.jpg</v>
      </c>
      <c r="G207" s="63"/>
      <c r="H207" s="67"/>
      <c r="I207" s="68"/>
      <c r="J207" s="68"/>
      <c r="K207" s="67" t="s">
        <v>7451</v>
      </c>
      <c r="L207" s="71"/>
      <c r="M207" s="72"/>
      <c r="N207" s="72"/>
      <c r="O207" s="73"/>
      <c r="P207" s="74"/>
      <c r="Q207" s="74"/>
      <c r="R207" s="86"/>
      <c r="S207" s="86"/>
      <c r="T207" s="86"/>
      <c r="U207" s="86"/>
      <c r="V207" s="48"/>
      <c r="W207" s="48"/>
      <c r="X207" s="48"/>
      <c r="Y207" s="48"/>
      <c r="Z207" s="47"/>
      <c r="AA207" s="69">
        <v>207</v>
      </c>
      <c r="AB207" s="69"/>
      <c r="AC207" s="70"/>
      <c r="AD207" s="76" t="s">
        <v>6333</v>
      </c>
      <c r="AE207" s="81" t="s">
        <v>6522</v>
      </c>
      <c r="AF207" s="76">
        <v>11</v>
      </c>
      <c r="AG207" s="76">
        <v>26</v>
      </c>
      <c r="AH207" s="76">
        <v>273</v>
      </c>
      <c r="AI207" s="76">
        <v>0</v>
      </c>
      <c r="AJ207" s="76">
        <v>255</v>
      </c>
      <c r="AK207" s="76">
        <v>17</v>
      </c>
      <c r="AL207" s="76" t="b">
        <v>0</v>
      </c>
      <c r="AM207" s="78">
        <v>42341.149282407408</v>
      </c>
      <c r="AN207" s="76"/>
      <c r="AO207" s="76" t="s">
        <v>6854</v>
      </c>
      <c r="AP207" s="83" t="str">
        <f>HYPERLINK("https://t.co/RbT4Uq5IaZ")</f>
        <v>https://t.co/RbT4Uq5IaZ</v>
      </c>
      <c r="AQ207" s="83" t="str">
        <f>HYPERLINK("http://www.instagram.com/juliocrf")</f>
        <v>http://www.instagram.com/juliocrf</v>
      </c>
      <c r="AR207" s="76" t="s">
        <v>7110</v>
      </c>
      <c r="AS207" s="83" t="str">
        <f>HYPERLINK("https://t.co/RybOcmM84M")</f>
        <v>https://t.co/RybOcmM84M</v>
      </c>
      <c r="AT207" s="83" t="str">
        <f>HYPERLINK("http://linktr.ee/juliocrf")</f>
        <v>http://linktr.ee/juliocrf</v>
      </c>
      <c r="AU207" s="76" t="s">
        <v>7236</v>
      </c>
      <c r="AV207" s="76">
        <v>1.58964701036977E+18</v>
      </c>
      <c r="AW207" s="83" t="str">
        <f>HYPERLINK("https://t.co/RbT4Uq5IaZ")</f>
        <v>https://t.co/RbT4Uq5IaZ</v>
      </c>
      <c r="AX207" s="76" t="b">
        <v>0</v>
      </c>
      <c r="AY207" s="76"/>
      <c r="AZ207" s="76"/>
      <c r="BA207" s="76" t="b">
        <v>0</v>
      </c>
      <c r="BB207" s="76" t="b">
        <v>0</v>
      </c>
      <c r="BC207" s="76" t="b">
        <v>1</v>
      </c>
      <c r="BD207" s="76" t="b">
        <v>0</v>
      </c>
      <c r="BE207" s="76" t="b">
        <v>0</v>
      </c>
      <c r="BF207" s="76" t="b">
        <v>0</v>
      </c>
      <c r="BG207" s="76" t="b">
        <v>0</v>
      </c>
      <c r="BH207" s="83" t="str">
        <f>HYPERLINK("https://pbs.twimg.com/profile_banners/4357245737/1677883008")</f>
        <v>https://pbs.twimg.com/profile_banners/4357245737/1677883008</v>
      </c>
      <c r="BI207" s="76"/>
      <c r="BJ207" s="76" t="s">
        <v>7245</v>
      </c>
      <c r="BK207" s="76" t="b">
        <v>0</v>
      </c>
      <c r="BL207" s="76"/>
      <c r="BM207" s="76" t="s">
        <v>66</v>
      </c>
      <c r="BN207" s="76" t="s">
        <v>7247</v>
      </c>
      <c r="BO207" s="83" t="str">
        <f>HYPERLINK("https://twitter.com/juliocrrf")</f>
        <v>https://twitter.com/juliocrrf</v>
      </c>
      <c r="BP207" s="2"/>
    </row>
    <row r="208" spans="1:68" x14ac:dyDescent="0.25">
      <c r="A208" s="62" t="s">
        <v>419</v>
      </c>
      <c r="B208" s="63"/>
      <c r="C208" s="63"/>
      <c r="D208" s="64"/>
      <c r="E208" s="66"/>
      <c r="F208" s="102" t="str">
        <f>HYPERLINK("https://pbs.twimg.com/profile_images/1600920059194576899/EenwhsQr_normal.jpg")</f>
        <v>https://pbs.twimg.com/profile_images/1600920059194576899/EenwhsQr_normal.jpg</v>
      </c>
      <c r="G208" s="63"/>
      <c r="H208" s="67"/>
      <c r="I208" s="68"/>
      <c r="J208" s="68"/>
      <c r="K208" s="67" t="s">
        <v>7452</v>
      </c>
      <c r="L208" s="71"/>
      <c r="M208" s="72"/>
      <c r="N208" s="72"/>
      <c r="O208" s="73"/>
      <c r="P208" s="74"/>
      <c r="Q208" s="74"/>
      <c r="R208" s="86"/>
      <c r="S208" s="86"/>
      <c r="T208" s="86"/>
      <c r="U208" s="86"/>
      <c r="V208" s="48"/>
      <c r="W208" s="48"/>
      <c r="X208" s="48"/>
      <c r="Y208" s="48"/>
      <c r="Z208" s="47"/>
      <c r="AA208" s="69">
        <v>208</v>
      </c>
      <c r="AB208" s="69"/>
      <c r="AC208" s="70"/>
      <c r="AD208" s="76" t="s">
        <v>6334</v>
      </c>
      <c r="AE208" s="81" t="s">
        <v>5995</v>
      </c>
      <c r="AF208" s="76">
        <v>2</v>
      </c>
      <c r="AG208" s="76">
        <v>72</v>
      </c>
      <c r="AH208" s="76">
        <v>17</v>
      </c>
      <c r="AI208" s="76">
        <v>0</v>
      </c>
      <c r="AJ208" s="76">
        <v>23</v>
      </c>
      <c r="AK208" s="76">
        <v>9</v>
      </c>
      <c r="AL208" s="76" t="b">
        <v>0</v>
      </c>
      <c r="AM208" s="78">
        <v>44903.747025462966</v>
      </c>
      <c r="AN208" s="76" t="s">
        <v>6628</v>
      </c>
      <c r="AO208" s="76" t="s">
        <v>6855</v>
      </c>
      <c r="AP208" s="76"/>
      <c r="AQ208" s="76"/>
      <c r="AR208" s="76"/>
      <c r="AS208" s="76"/>
      <c r="AT208" s="76"/>
      <c r="AU208" s="76"/>
      <c r="AV208" s="76"/>
      <c r="AW208" s="76"/>
      <c r="AX208" s="76" t="b">
        <v>0</v>
      </c>
      <c r="AY208" s="76"/>
      <c r="AZ208" s="76"/>
      <c r="BA208" s="76" t="b">
        <v>0</v>
      </c>
      <c r="BB208" s="76" t="b">
        <v>1</v>
      </c>
      <c r="BC208" s="76" t="b">
        <v>1</v>
      </c>
      <c r="BD208" s="76" t="b">
        <v>0</v>
      </c>
      <c r="BE208" s="76" t="b">
        <v>0</v>
      </c>
      <c r="BF208" s="76" t="b">
        <v>0</v>
      </c>
      <c r="BG208" s="76" t="b">
        <v>0</v>
      </c>
      <c r="BH208" s="83" t="str">
        <f>HYPERLINK("https://pbs.twimg.com/profile_banners/1600911730024091654/1670524084")</f>
        <v>https://pbs.twimg.com/profile_banners/1600911730024091654/1670524084</v>
      </c>
      <c r="BI208" s="76"/>
      <c r="BJ208" s="76" t="s">
        <v>7245</v>
      </c>
      <c r="BK208" s="76" t="b">
        <v>0</v>
      </c>
      <c r="BL208" s="76"/>
      <c r="BM208" s="76" t="s">
        <v>66</v>
      </c>
      <c r="BN208" s="76" t="s">
        <v>7247</v>
      </c>
      <c r="BO208" s="83" t="str">
        <f>HYPERLINK("https://twitter.com/hmotivationmz")</f>
        <v>https://twitter.com/hmotivationmz</v>
      </c>
      <c r="BP208" s="2"/>
    </row>
    <row r="209" spans="1:68" x14ac:dyDescent="0.25">
      <c r="A209" s="62" t="s">
        <v>420</v>
      </c>
      <c r="B209" s="63"/>
      <c r="C209" s="63"/>
      <c r="D209" s="64"/>
      <c r="E209" s="66"/>
      <c r="F209" s="102" t="str">
        <f>HYPERLINK("https://pbs.twimg.com/profile_images/1624955412997963776/u7lYPljo_normal.jpg")</f>
        <v>https://pbs.twimg.com/profile_images/1624955412997963776/u7lYPljo_normal.jpg</v>
      </c>
      <c r="G209" s="63"/>
      <c r="H209" s="67"/>
      <c r="I209" s="68"/>
      <c r="J209" s="68"/>
      <c r="K209" s="67" t="s">
        <v>7453</v>
      </c>
      <c r="L209" s="71"/>
      <c r="M209" s="72"/>
      <c r="N209" s="72"/>
      <c r="O209" s="73"/>
      <c r="P209" s="74"/>
      <c r="Q209" s="74"/>
      <c r="R209" s="86"/>
      <c r="S209" s="86"/>
      <c r="T209" s="86"/>
      <c r="U209" s="86"/>
      <c r="V209" s="48"/>
      <c r="W209" s="48"/>
      <c r="X209" s="48"/>
      <c r="Y209" s="48"/>
      <c r="Z209" s="47"/>
      <c r="AA209" s="69">
        <v>209</v>
      </c>
      <c r="AB209" s="69"/>
      <c r="AC209" s="70"/>
      <c r="AD209" s="76" t="s">
        <v>6335</v>
      </c>
      <c r="AE209" s="81" t="s">
        <v>5996</v>
      </c>
      <c r="AF209" s="76">
        <v>4</v>
      </c>
      <c r="AG209" s="76">
        <v>21</v>
      </c>
      <c r="AH209" s="76">
        <v>56</v>
      </c>
      <c r="AI209" s="76">
        <v>1</v>
      </c>
      <c r="AJ209" s="76">
        <v>1</v>
      </c>
      <c r="AK209" s="76">
        <v>2</v>
      </c>
      <c r="AL209" s="76" t="b">
        <v>0</v>
      </c>
      <c r="AM209" s="78">
        <v>44970.093958333331</v>
      </c>
      <c r="AN209" s="76"/>
      <c r="AO209" s="76" t="s">
        <v>6856</v>
      </c>
      <c r="AP209" s="76"/>
      <c r="AQ209" s="76"/>
      <c r="AR209" s="76"/>
      <c r="AS209" s="76"/>
      <c r="AT209" s="76"/>
      <c r="AU209" s="76"/>
      <c r="AV209" s="76"/>
      <c r="AW209" s="76"/>
      <c r="AX209" s="76" t="b">
        <v>0</v>
      </c>
      <c r="AY209" s="76"/>
      <c r="AZ209" s="76"/>
      <c r="BA209" s="76" t="b">
        <v>0</v>
      </c>
      <c r="BB209" s="76" t="b">
        <v>1</v>
      </c>
      <c r="BC209" s="76" t="b">
        <v>1</v>
      </c>
      <c r="BD209" s="76" t="b">
        <v>0</v>
      </c>
      <c r="BE209" s="76" t="b">
        <v>1</v>
      </c>
      <c r="BF209" s="76" t="b">
        <v>0</v>
      </c>
      <c r="BG209" s="76" t="b">
        <v>0</v>
      </c>
      <c r="BH209" s="83" t="str">
        <f>HYPERLINK("https://pbs.twimg.com/profile_banners/1624955264637063171/1676390342")</f>
        <v>https://pbs.twimg.com/profile_banners/1624955264637063171/1676390342</v>
      </c>
      <c r="BI209" s="76"/>
      <c r="BJ209" s="76" t="s">
        <v>7245</v>
      </c>
      <c r="BK209" s="76" t="b">
        <v>0</v>
      </c>
      <c r="BL209" s="76"/>
      <c r="BM209" s="76" t="s">
        <v>66</v>
      </c>
      <c r="BN209" s="76" t="s">
        <v>7247</v>
      </c>
      <c r="BO209" s="83" t="str">
        <f>HYPERLINK("https://twitter.com/mercadosemmedo")</f>
        <v>https://twitter.com/mercadosemmedo</v>
      </c>
      <c r="BP209" s="2"/>
    </row>
    <row r="210" spans="1:68" x14ac:dyDescent="0.25">
      <c r="A210" s="62" t="s">
        <v>421</v>
      </c>
      <c r="B210" s="63"/>
      <c r="C210" s="63"/>
      <c r="D210" s="64"/>
      <c r="E210" s="66"/>
      <c r="F210" s="102" t="str">
        <f>HYPERLINK("https://pbs.twimg.com/profile_images/1666443911185694721/vObKGsq__normal.jpg")</f>
        <v>https://pbs.twimg.com/profile_images/1666443911185694721/vObKGsq__normal.jpg</v>
      </c>
      <c r="G210" s="63"/>
      <c r="H210" s="67"/>
      <c r="I210" s="68"/>
      <c r="J210" s="68"/>
      <c r="K210" s="67" t="s">
        <v>7454</v>
      </c>
      <c r="L210" s="71"/>
      <c r="M210" s="72"/>
      <c r="N210" s="72"/>
      <c r="O210" s="73"/>
      <c r="P210" s="74"/>
      <c r="Q210" s="74"/>
      <c r="R210" s="86"/>
      <c r="S210" s="86"/>
      <c r="T210" s="86"/>
      <c r="U210" s="86"/>
      <c r="V210" s="48"/>
      <c r="W210" s="48"/>
      <c r="X210" s="48"/>
      <c r="Y210" s="48"/>
      <c r="Z210" s="47"/>
      <c r="AA210" s="69">
        <v>210</v>
      </c>
      <c r="AB210" s="69"/>
      <c r="AC210" s="70"/>
      <c r="AD210" s="76" t="s">
        <v>6336</v>
      </c>
      <c r="AE210" s="81" t="s">
        <v>5997</v>
      </c>
      <c r="AF210" s="76">
        <v>9</v>
      </c>
      <c r="AG210" s="76">
        <v>159</v>
      </c>
      <c r="AH210" s="76">
        <v>123</v>
      </c>
      <c r="AI210" s="76">
        <v>0</v>
      </c>
      <c r="AJ210" s="76">
        <v>62</v>
      </c>
      <c r="AK210" s="76">
        <v>78</v>
      </c>
      <c r="AL210" s="76" t="b">
        <v>0</v>
      </c>
      <c r="AM210" s="78">
        <v>44990.768495370372</v>
      </c>
      <c r="AN210" s="76"/>
      <c r="AO210" s="76" t="s">
        <v>6857</v>
      </c>
      <c r="AP210" s="83" t="str">
        <f>HYPERLINK("https://t.co/8c48C6If7D")</f>
        <v>https://t.co/8c48C6If7D</v>
      </c>
      <c r="AQ210" s="83" t="str">
        <f>HYPERLINK("http://hotm.art/ngdgpv")</f>
        <v>http://hotm.art/ngdgpv</v>
      </c>
      <c r="AR210" s="76" t="s">
        <v>7111</v>
      </c>
      <c r="AS210" s="76"/>
      <c r="AT210" s="76"/>
      <c r="AU210" s="76"/>
      <c r="AV210" s="76"/>
      <c r="AW210" s="83" t="str">
        <f>HYPERLINK("https://t.co/8c48C6If7D")</f>
        <v>https://t.co/8c48C6If7D</v>
      </c>
      <c r="AX210" s="76" t="b">
        <v>0</v>
      </c>
      <c r="AY210" s="76"/>
      <c r="AZ210" s="76"/>
      <c r="BA210" s="76" t="b">
        <v>0</v>
      </c>
      <c r="BB210" s="76" t="b">
        <v>1</v>
      </c>
      <c r="BC210" s="76" t="b">
        <v>1</v>
      </c>
      <c r="BD210" s="76" t="b">
        <v>0</v>
      </c>
      <c r="BE210" s="76" t="b">
        <v>0</v>
      </c>
      <c r="BF210" s="76" t="b">
        <v>0</v>
      </c>
      <c r="BG210" s="76" t="b">
        <v>0</v>
      </c>
      <c r="BH210" s="83" t="str">
        <f>HYPERLINK("https://pbs.twimg.com/profile_banners/1632447388383150082/1686146164")</f>
        <v>https://pbs.twimg.com/profile_banners/1632447388383150082/1686146164</v>
      </c>
      <c r="BI210" s="76"/>
      <c r="BJ210" s="76" t="s">
        <v>7245</v>
      </c>
      <c r="BK210" s="76" t="b">
        <v>0</v>
      </c>
      <c r="BL210" s="76"/>
      <c r="BM210" s="76" t="s">
        <v>66</v>
      </c>
      <c r="BN210" s="76" t="s">
        <v>7247</v>
      </c>
      <c r="BO210" s="83" t="str">
        <f>HYPERLINK("https://twitter.com/paulinorsantos")</f>
        <v>https://twitter.com/paulinorsantos</v>
      </c>
      <c r="BP210" s="2"/>
    </row>
    <row r="211" spans="1:68" x14ac:dyDescent="0.25">
      <c r="A211" s="62" t="s">
        <v>422</v>
      </c>
      <c r="B211" s="63"/>
      <c r="C211" s="63"/>
      <c r="D211" s="64"/>
      <c r="E211" s="66"/>
      <c r="F211" s="102" t="str">
        <f>HYPERLINK("https://pbs.twimg.com/profile_images/1402355369633107968/qvP9ceS3_normal.jpg")</f>
        <v>https://pbs.twimg.com/profile_images/1402355369633107968/qvP9ceS3_normal.jpg</v>
      </c>
      <c r="G211" s="63"/>
      <c r="H211" s="67"/>
      <c r="I211" s="68"/>
      <c r="J211" s="68"/>
      <c r="K211" s="67" t="s">
        <v>7455</v>
      </c>
      <c r="L211" s="71"/>
      <c r="M211" s="72"/>
      <c r="N211" s="72"/>
      <c r="O211" s="73"/>
      <c r="P211" s="74"/>
      <c r="Q211" s="74"/>
      <c r="R211" s="86"/>
      <c r="S211" s="86"/>
      <c r="T211" s="86"/>
      <c r="U211" s="86"/>
      <c r="V211" s="48"/>
      <c r="W211" s="48"/>
      <c r="X211" s="48"/>
      <c r="Y211" s="48"/>
      <c r="Z211" s="47"/>
      <c r="AA211" s="69">
        <v>211</v>
      </c>
      <c r="AB211" s="69"/>
      <c r="AC211" s="70"/>
      <c r="AD211" s="76" t="s">
        <v>6337</v>
      </c>
      <c r="AE211" s="81" t="s">
        <v>5998</v>
      </c>
      <c r="AF211" s="76">
        <v>50</v>
      </c>
      <c r="AG211" s="76">
        <v>71</v>
      </c>
      <c r="AH211" s="76">
        <v>32</v>
      </c>
      <c r="AI211" s="76">
        <v>0</v>
      </c>
      <c r="AJ211" s="76">
        <v>117</v>
      </c>
      <c r="AK211" s="76">
        <v>8</v>
      </c>
      <c r="AL211" s="76" t="b">
        <v>0</v>
      </c>
      <c r="AM211" s="78">
        <v>42662.544895833336</v>
      </c>
      <c r="AN211" s="76" t="s">
        <v>6629</v>
      </c>
      <c r="AO211" s="76" t="s">
        <v>6858</v>
      </c>
      <c r="AP211" s="83" t="str">
        <f>HYPERLINK("https://t.co/fbW57tzI93")</f>
        <v>https://t.co/fbW57tzI93</v>
      </c>
      <c r="AQ211" s="83" t="str">
        <f>HYPERLINK("https://linktr.ee/anapregis")</f>
        <v>https://linktr.ee/anapregis</v>
      </c>
      <c r="AR211" s="76" t="s">
        <v>7112</v>
      </c>
      <c r="AS211" s="76"/>
      <c r="AT211" s="76"/>
      <c r="AU211" s="76"/>
      <c r="AV211" s="76">
        <v>1.1562349603464599E+18</v>
      </c>
      <c r="AW211" s="83" t="str">
        <f>HYPERLINK("https://t.co/fbW57tzI93")</f>
        <v>https://t.co/fbW57tzI93</v>
      </c>
      <c r="AX211" s="76" t="b">
        <v>0</v>
      </c>
      <c r="AY211" s="76"/>
      <c r="AZ211" s="76"/>
      <c r="BA211" s="76" t="b">
        <v>1</v>
      </c>
      <c r="BB211" s="76" t="b">
        <v>0</v>
      </c>
      <c r="BC211" s="76" t="b">
        <v>1</v>
      </c>
      <c r="BD211" s="76" t="b">
        <v>0</v>
      </c>
      <c r="BE211" s="76" t="b">
        <v>0</v>
      </c>
      <c r="BF211" s="76" t="b">
        <v>0</v>
      </c>
      <c r="BG211" s="76" t="b">
        <v>0</v>
      </c>
      <c r="BH211" s="83" t="str">
        <f>HYPERLINK("https://pbs.twimg.com/profile_banners/788727561744420865/1641389201")</f>
        <v>https://pbs.twimg.com/profile_banners/788727561744420865/1641389201</v>
      </c>
      <c r="BI211" s="76"/>
      <c r="BJ211" s="76" t="s">
        <v>7245</v>
      </c>
      <c r="BK211" s="76" t="b">
        <v>0</v>
      </c>
      <c r="BL211" s="76"/>
      <c r="BM211" s="76" t="s">
        <v>66</v>
      </c>
      <c r="BN211" s="76" t="s">
        <v>7247</v>
      </c>
      <c r="BO211" s="83" t="str">
        <f>HYPERLINK("https://twitter.com/anapregis")</f>
        <v>https://twitter.com/anapregis</v>
      </c>
      <c r="BP211" s="2"/>
    </row>
    <row r="212" spans="1:68" x14ac:dyDescent="0.25">
      <c r="A212" s="62" t="s">
        <v>423</v>
      </c>
      <c r="B212" s="63"/>
      <c r="C212" s="63"/>
      <c r="D212" s="64"/>
      <c r="E212" s="66"/>
      <c r="F212" s="102" t="str">
        <f>HYPERLINK("https://pbs.twimg.com/profile_images/1663484313545867265/O1i582Yp_normal.jpg")</f>
        <v>https://pbs.twimg.com/profile_images/1663484313545867265/O1i582Yp_normal.jpg</v>
      </c>
      <c r="G212" s="63"/>
      <c r="H212" s="67"/>
      <c r="I212" s="68"/>
      <c r="J212" s="68"/>
      <c r="K212" s="67" t="s">
        <v>7456</v>
      </c>
      <c r="L212" s="71"/>
      <c r="M212" s="72"/>
      <c r="N212" s="72"/>
      <c r="O212" s="73"/>
      <c r="P212" s="74"/>
      <c r="Q212" s="74"/>
      <c r="R212" s="86"/>
      <c r="S212" s="86"/>
      <c r="T212" s="86"/>
      <c r="U212" s="86"/>
      <c r="V212" s="48"/>
      <c r="W212" s="48"/>
      <c r="X212" s="48"/>
      <c r="Y212" s="48"/>
      <c r="Z212" s="47"/>
      <c r="AA212" s="69">
        <v>212</v>
      </c>
      <c r="AB212" s="69"/>
      <c r="AC212" s="70"/>
      <c r="AD212" s="76" t="s">
        <v>6338</v>
      </c>
      <c r="AE212" s="81" t="s">
        <v>6523</v>
      </c>
      <c r="AF212" s="76">
        <v>26</v>
      </c>
      <c r="AG212" s="76">
        <v>30</v>
      </c>
      <c r="AH212" s="76">
        <v>91</v>
      </c>
      <c r="AI212" s="76">
        <v>0</v>
      </c>
      <c r="AJ212" s="76">
        <v>36</v>
      </c>
      <c r="AK212" s="76">
        <v>1</v>
      </c>
      <c r="AL212" s="76" t="b">
        <v>0</v>
      </c>
      <c r="AM212" s="78">
        <v>40213.827847222223</v>
      </c>
      <c r="AN212" s="76" t="s">
        <v>3794</v>
      </c>
      <c r="AO212" s="76" t="s">
        <v>6859</v>
      </c>
      <c r="AP212" s="76"/>
      <c r="AQ212" s="76"/>
      <c r="AR212" s="76"/>
      <c r="AS212" s="76"/>
      <c r="AT212" s="76"/>
      <c r="AU212" s="76"/>
      <c r="AV212" s="76"/>
      <c r="AW212" s="76"/>
      <c r="AX212" s="76" t="b">
        <v>0</v>
      </c>
      <c r="AY212" s="76"/>
      <c r="AZ212" s="76"/>
      <c r="BA212" s="76" t="b">
        <v>0</v>
      </c>
      <c r="BB212" s="76" t="b">
        <v>0</v>
      </c>
      <c r="BC212" s="76" t="b">
        <v>0</v>
      </c>
      <c r="BD212" s="76" t="b">
        <v>0</v>
      </c>
      <c r="BE212" s="76" t="b">
        <v>0</v>
      </c>
      <c r="BF212" s="76" t="b">
        <v>0</v>
      </c>
      <c r="BG212" s="76" t="b">
        <v>0</v>
      </c>
      <c r="BH212" s="83" t="str">
        <f>HYPERLINK("https://pbs.twimg.com/profile_banners/111397831/1685440680")</f>
        <v>https://pbs.twimg.com/profile_banners/111397831/1685440680</v>
      </c>
      <c r="BI212" s="76"/>
      <c r="BJ212" s="76" t="s">
        <v>7245</v>
      </c>
      <c r="BK212" s="76" t="b">
        <v>0</v>
      </c>
      <c r="BL212" s="76"/>
      <c r="BM212" s="76" t="s">
        <v>66</v>
      </c>
      <c r="BN212" s="76" t="s">
        <v>7247</v>
      </c>
      <c r="BO212" s="83" t="str">
        <f>HYPERLINK("https://twitter.com/brunossm")</f>
        <v>https://twitter.com/brunossm</v>
      </c>
      <c r="BP212" s="2"/>
    </row>
    <row r="213" spans="1:68" x14ac:dyDescent="0.25">
      <c r="A213" s="62" t="s">
        <v>424</v>
      </c>
      <c r="B213" s="63"/>
      <c r="C213" s="63"/>
      <c r="D213" s="64"/>
      <c r="E213" s="66"/>
      <c r="F213" s="102" t="str">
        <f>HYPERLINK("https://pbs.twimg.com/profile_images/1662678206871117824/gHyyaq0R_normal.jpg")</f>
        <v>https://pbs.twimg.com/profile_images/1662678206871117824/gHyyaq0R_normal.jpg</v>
      </c>
      <c r="G213" s="63"/>
      <c r="H213" s="67"/>
      <c r="I213" s="68"/>
      <c r="J213" s="68"/>
      <c r="K213" s="67" t="s">
        <v>7457</v>
      </c>
      <c r="L213" s="71"/>
      <c r="M213" s="72"/>
      <c r="N213" s="72"/>
      <c r="O213" s="73"/>
      <c r="P213" s="74"/>
      <c r="Q213" s="74"/>
      <c r="R213" s="86"/>
      <c r="S213" s="86"/>
      <c r="T213" s="86"/>
      <c r="U213" s="86"/>
      <c r="V213" s="48"/>
      <c r="W213" s="48"/>
      <c r="X213" s="48"/>
      <c r="Y213" s="48"/>
      <c r="Z213" s="47"/>
      <c r="AA213" s="69">
        <v>213</v>
      </c>
      <c r="AB213" s="69"/>
      <c r="AC213" s="70"/>
      <c r="AD213" s="76" t="s">
        <v>6339</v>
      </c>
      <c r="AE213" s="81" t="s">
        <v>5999</v>
      </c>
      <c r="AF213" s="76">
        <v>1</v>
      </c>
      <c r="AG213" s="76">
        <v>3</v>
      </c>
      <c r="AH213" s="76">
        <v>1</v>
      </c>
      <c r="AI213" s="76">
        <v>0</v>
      </c>
      <c r="AJ213" s="76">
        <v>0</v>
      </c>
      <c r="AK213" s="76">
        <v>1</v>
      </c>
      <c r="AL213" s="76" t="b">
        <v>0</v>
      </c>
      <c r="AM213" s="78">
        <v>45073.734398148146</v>
      </c>
      <c r="AN213" s="76" t="s">
        <v>6625</v>
      </c>
      <c r="AO213" s="76" t="s">
        <v>6860</v>
      </c>
      <c r="AP213" s="83" t="str">
        <f>HYPERLINK("https://t.co/Af5Y70b4dy")</f>
        <v>https://t.co/Af5Y70b4dy</v>
      </c>
      <c r="AQ213" s="83" t="str">
        <f>HYPERLINK("https://whatsapp.com/dl/")</f>
        <v>https://whatsapp.com/dl/</v>
      </c>
      <c r="AR213" s="76" t="s">
        <v>7113</v>
      </c>
      <c r="AS213" s="76"/>
      <c r="AT213" s="76"/>
      <c r="AU213" s="76"/>
      <c r="AV213" s="76"/>
      <c r="AW213" s="83" t="str">
        <f>HYPERLINK("https://t.co/Af5Y70b4dy")</f>
        <v>https://t.co/Af5Y70b4dy</v>
      </c>
      <c r="AX213" s="76" t="b">
        <v>0</v>
      </c>
      <c r="AY213" s="76"/>
      <c r="AZ213" s="76"/>
      <c r="BA213" s="76" t="b">
        <v>0</v>
      </c>
      <c r="BB213" s="76" t="b">
        <v>1</v>
      </c>
      <c r="BC213" s="76" t="b">
        <v>1</v>
      </c>
      <c r="BD213" s="76" t="b">
        <v>0</v>
      </c>
      <c r="BE213" s="76" t="b">
        <v>0</v>
      </c>
      <c r="BF213" s="76" t="b">
        <v>0</v>
      </c>
      <c r="BG213" s="76" t="b">
        <v>0</v>
      </c>
      <c r="BH213" s="83" t="str">
        <f>HYPERLINK("https://pbs.twimg.com/profile_banners/1662512921702719490/1685248365")</f>
        <v>https://pbs.twimg.com/profile_banners/1662512921702719490/1685248365</v>
      </c>
      <c r="BI213" s="76"/>
      <c r="BJ213" s="76" t="s">
        <v>7245</v>
      </c>
      <c r="BK213" s="76" t="b">
        <v>0</v>
      </c>
      <c r="BL213" s="76"/>
      <c r="BM213" s="76" t="s">
        <v>66</v>
      </c>
      <c r="BN213" s="76" t="s">
        <v>7247</v>
      </c>
      <c r="BO213" s="83" t="str">
        <f>HYPERLINK("https://twitter.com/maemarketeiraa")</f>
        <v>https://twitter.com/maemarketeiraa</v>
      </c>
      <c r="BP213" s="2"/>
    </row>
    <row r="214" spans="1:68" x14ac:dyDescent="0.25">
      <c r="A214" s="62" t="s">
        <v>425</v>
      </c>
      <c r="B214" s="63"/>
      <c r="C214" s="63"/>
      <c r="D214" s="64"/>
      <c r="E214" s="66"/>
      <c r="F214" s="102" t="str">
        <f>HYPERLINK("https://pbs.twimg.com/profile_images/1689617066402213888/UNBIkoAV_normal.png")</f>
        <v>https://pbs.twimg.com/profile_images/1689617066402213888/UNBIkoAV_normal.png</v>
      </c>
      <c r="G214" s="63"/>
      <c r="H214" s="67"/>
      <c r="I214" s="68"/>
      <c r="J214" s="68"/>
      <c r="K214" s="67" t="s">
        <v>7458</v>
      </c>
      <c r="L214" s="71"/>
      <c r="M214" s="72"/>
      <c r="N214" s="72"/>
      <c r="O214" s="73"/>
      <c r="P214" s="74"/>
      <c r="Q214" s="74"/>
      <c r="R214" s="86"/>
      <c r="S214" s="86"/>
      <c r="T214" s="86"/>
      <c r="U214" s="86"/>
      <c r="V214" s="48"/>
      <c r="W214" s="48"/>
      <c r="X214" s="48"/>
      <c r="Y214" s="48"/>
      <c r="Z214" s="47"/>
      <c r="AA214" s="69">
        <v>214</v>
      </c>
      <c r="AB214" s="69"/>
      <c r="AC214" s="70"/>
      <c r="AD214" s="76" t="s">
        <v>6340</v>
      </c>
      <c r="AE214" s="81" t="s">
        <v>6000</v>
      </c>
      <c r="AF214" s="76">
        <v>3182</v>
      </c>
      <c r="AG214" s="76">
        <v>199</v>
      </c>
      <c r="AH214" s="76">
        <v>2515</v>
      </c>
      <c r="AI214" s="76">
        <v>6</v>
      </c>
      <c r="AJ214" s="76">
        <v>6969</v>
      </c>
      <c r="AK214" s="76">
        <v>493</v>
      </c>
      <c r="AL214" s="76" t="b">
        <v>0</v>
      </c>
      <c r="AM214" s="78">
        <v>44439.900370370371</v>
      </c>
      <c r="AN214" s="76" t="s">
        <v>3752</v>
      </c>
      <c r="AO214" s="76" t="s">
        <v>6861</v>
      </c>
      <c r="AP214" s="83" t="str">
        <f>HYPERLINK("https://t.co/VCXol9Shqk")</f>
        <v>https://t.co/VCXol9Shqk</v>
      </c>
      <c r="AQ214" s="83" t="str">
        <f>HYPERLINK("https://bitfinex.com/")</f>
        <v>https://bitfinex.com/</v>
      </c>
      <c r="AR214" s="76" t="s">
        <v>7114</v>
      </c>
      <c r="AS214" s="76"/>
      <c r="AT214" s="76"/>
      <c r="AU214" s="76"/>
      <c r="AV214" s="76">
        <v>1.68961891082638E+18</v>
      </c>
      <c r="AW214" s="83" t="str">
        <f>HYPERLINK("https://t.co/VCXol9Shqk")</f>
        <v>https://t.co/VCXol9Shqk</v>
      </c>
      <c r="AX214" s="76" t="b">
        <v>0</v>
      </c>
      <c r="AY214" s="76"/>
      <c r="AZ214" s="76"/>
      <c r="BA214" s="76" t="b">
        <v>0</v>
      </c>
      <c r="BB214" s="76" t="b">
        <v>1</v>
      </c>
      <c r="BC214" s="76" t="b">
        <v>1</v>
      </c>
      <c r="BD214" s="76" t="b">
        <v>0</v>
      </c>
      <c r="BE214" s="76" t="b">
        <v>1</v>
      </c>
      <c r="BF214" s="76" t="b">
        <v>0</v>
      </c>
      <c r="BG214" s="76" t="b">
        <v>0</v>
      </c>
      <c r="BH214" s="83" t="str">
        <f>HYPERLINK("https://pbs.twimg.com/profile_banners/1432819503604326400/1691671075")</f>
        <v>https://pbs.twimg.com/profile_banners/1432819503604326400/1691671075</v>
      </c>
      <c r="BI214" s="76"/>
      <c r="BJ214" s="76" t="s">
        <v>7245</v>
      </c>
      <c r="BK214" s="76" t="b">
        <v>0</v>
      </c>
      <c r="BL214" s="76"/>
      <c r="BM214" s="76" t="s">
        <v>66</v>
      </c>
      <c r="BN214" s="76" t="s">
        <v>7247</v>
      </c>
      <c r="BO214" s="83" t="str">
        <f>HYPERLINK("https://twitter.com/bitfinexpor")</f>
        <v>https://twitter.com/bitfinexpor</v>
      </c>
      <c r="BP214" s="2"/>
    </row>
    <row r="215" spans="1:68" x14ac:dyDescent="0.25">
      <c r="A215" s="62" t="s">
        <v>574</v>
      </c>
      <c r="B215" s="63"/>
      <c r="C215" s="63"/>
      <c r="D215" s="64"/>
      <c r="E215" s="66"/>
      <c r="F215" s="102" t="str">
        <f>HYPERLINK("https://pbs.twimg.com/profile_images/1457908710815244293/hwREcXeE_normal.jpg")</f>
        <v>https://pbs.twimg.com/profile_images/1457908710815244293/hwREcXeE_normal.jpg</v>
      </c>
      <c r="G215" s="63"/>
      <c r="H215" s="67"/>
      <c r="I215" s="68"/>
      <c r="J215" s="68"/>
      <c r="K215" s="67" t="s">
        <v>7459</v>
      </c>
      <c r="L215" s="71"/>
      <c r="M215" s="72"/>
      <c r="N215" s="72"/>
      <c r="O215" s="73"/>
      <c r="P215" s="74"/>
      <c r="Q215" s="74"/>
      <c r="R215" s="86"/>
      <c r="S215" s="86"/>
      <c r="T215" s="86"/>
      <c r="U215" s="86"/>
      <c r="V215" s="48"/>
      <c r="W215" s="48"/>
      <c r="X215" s="48"/>
      <c r="Y215" s="48"/>
      <c r="Z215" s="47"/>
      <c r="AA215" s="69">
        <v>215</v>
      </c>
      <c r="AB215" s="69"/>
      <c r="AC215" s="70"/>
      <c r="AD215" s="76" t="s">
        <v>6341</v>
      </c>
      <c r="AE215" s="81" t="s">
        <v>6524</v>
      </c>
      <c r="AF215" s="76">
        <v>11653</v>
      </c>
      <c r="AG215" s="76">
        <v>323</v>
      </c>
      <c r="AH215" s="76">
        <v>4643</v>
      </c>
      <c r="AI215" s="76">
        <v>144</v>
      </c>
      <c r="AJ215" s="76">
        <v>4816</v>
      </c>
      <c r="AK215" s="76">
        <v>947</v>
      </c>
      <c r="AL215" s="76" t="b">
        <v>0</v>
      </c>
      <c r="AM215" s="78">
        <v>44463.79583333333</v>
      </c>
      <c r="AN215" s="76" t="s">
        <v>6630</v>
      </c>
      <c r="AO215" s="76" t="s">
        <v>6862</v>
      </c>
      <c r="AP215" s="83" t="str">
        <f>HYPERLINK("https://t.co/sXe60jHdaY")</f>
        <v>https://t.co/sXe60jHdaY</v>
      </c>
      <c r="AQ215" s="83" t="str">
        <f>HYPERLINK("https://myfirstbitcoin.io")</f>
        <v>https://myfirstbitcoin.io</v>
      </c>
      <c r="AR215" s="76" t="s">
        <v>7115</v>
      </c>
      <c r="AS215" s="76"/>
      <c r="AT215" s="76"/>
      <c r="AU215" s="76"/>
      <c r="AV215" s="76">
        <v>1.7038245512498501E+18</v>
      </c>
      <c r="AW215" s="83" t="str">
        <f>HYPERLINK("https://t.co/sXe60jHdaY")</f>
        <v>https://t.co/sXe60jHdaY</v>
      </c>
      <c r="AX215" s="76" t="b">
        <v>1</v>
      </c>
      <c r="AY215" s="76"/>
      <c r="AZ215" s="76"/>
      <c r="BA215" s="76" t="b">
        <v>1</v>
      </c>
      <c r="BB215" s="76" t="b">
        <v>1</v>
      </c>
      <c r="BC215" s="76" t="b">
        <v>1</v>
      </c>
      <c r="BD215" s="76" t="b">
        <v>0</v>
      </c>
      <c r="BE215" s="76" t="b">
        <v>1</v>
      </c>
      <c r="BF215" s="76" t="b">
        <v>0</v>
      </c>
      <c r="BG215" s="76" t="b">
        <v>0</v>
      </c>
      <c r="BH215" s="83" t="str">
        <f>HYPERLINK("https://pbs.twimg.com/profile_banners/1441478918846955521/1688996717")</f>
        <v>https://pbs.twimg.com/profile_banners/1441478918846955521/1688996717</v>
      </c>
      <c r="BI215" s="76"/>
      <c r="BJ215" s="76" t="s">
        <v>7245</v>
      </c>
      <c r="BK215" s="76" t="b">
        <v>0</v>
      </c>
      <c r="BL215" s="76"/>
      <c r="BM215" s="76" t="s">
        <v>65</v>
      </c>
      <c r="BN215" s="76" t="s">
        <v>7247</v>
      </c>
      <c r="BO215" s="83" t="str">
        <f>HYPERLINK("https://twitter.com/myfirstbitcoin_")</f>
        <v>https://twitter.com/myfirstbitcoin_</v>
      </c>
      <c r="BP215" s="2"/>
    </row>
    <row r="216" spans="1:68" x14ac:dyDescent="0.25">
      <c r="A216" s="62" t="s">
        <v>575</v>
      </c>
      <c r="B216" s="63"/>
      <c r="C216" s="63"/>
      <c r="D216" s="64"/>
      <c r="E216" s="66"/>
      <c r="F216" s="102" t="str">
        <f>HYPERLINK("https://pbs.twimg.com/profile_images/1625795120384581633/ATQuroGo_normal.png")</f>
        <v>https://pbs.twimg.com/profile_images/1625795120384581633/ATQuroGo_normal.png</v>
      </c>
      <c r="G216" s="63"/>
      <c r="H216" s="67"/>
      <c r="I216" s="68"/>
      <c r="J216" s="68"/>
      <c r="K216" s="67" t="s">
        <v>7460</v>
      </c>
      <c r="L216" s="71"/>
      <c r="M216" s="72"/>
      <c r="N216" s="72"/>
      <c r="O216" s="73"/>
      <c r="P216" s="74"/>
      <c r="Q216" s="74"/>
      <c r="R216" s="86"/>
      <c r="S216" s="86"/>
      <c r="T216" s="86"/>
      <c r="U216" s="86"/>
      <c r="V216" s="48"/>
      <c r="W216" s="48"/>
      <c r="X216" s="48"/>
      <c r="Y216" s="48"/>
      <c r="Z216" s="47"/>
      <c r="AA216" s="69">
        <v>216</v>
      </c>
      <c r="AB216" s="69"/>
      <c r="AC216" s="70"/>
      <c r="AD216" s="76" t="s">
        <v>6342</v>
      </c>
      <c r="AE216" s="81" t="s">
        <v>5596</v>
      </c>
      <c r="AF216" s="76">
        <v>933511</v>
      </c>
      <c r="AG216" s="76">
        <v>57</v>
      </c>
      <c r="AH216" s="76">
        <v>5869</v>
      </c>
      <c r="AI216" s="76">
        <v>6710</v>
      </c>
      <c r="AJ216" s="76">
        <v>1658</v>
      </c>
      <c r="AK216" s="76">
        <v>2602</v>
      </c>
      <c r="AL216" s="76" t="b">
        <v>0</v>
      </c>
      <c r="AM216" s="78">
        <v>41199.562118055554</v>
      </c>
      <c r="AN216" s="76"/>
      <c r="AO216" s="76" t="s">
        <v>6863</v>
      </c>
      <c r="AP216" s="83" t="str">
        <f>HYPERLINK("https://t.co/LFTqmgJwa9")</f>
        <v>https://t.co/LFTqmgJwa9</v>
      </c>
      <c r="AQ216" s="83" t="str">
        <f>HYPERLINK("https://www.bitfinex.com/trading")</f>
        <v>https://www.bitfinex.com/trading</v>
      </c>
      <c r="AR216" s="76" t="s">
        <v>7116</v>
      </c>
      <c r="AS216" s="83" t="str">
        <f>HYPERLINK("https://t.co/8ttseB5N6M")</f>
        <v>https://t.co/8ttseB5N6M</v>
      </c>
      <c r="AT216" s="83" t="str">
        <f>HYPERLINK("http://t.me/bitfinex")</f>
        <v>http://t.me/bitfinex</v>
      </c>
      <c r="AU216" s="76" t="s">
        <v>7237</v>
      </c>
      <c r="AV216" s="76">
        <v>1.55485210692173E+18</v>
      </c>
      <c r="AW216" s="83" t="str">
        <f>HYPERLINK("https://t.co/LFTqmgJwa9")</f>
        <v>https://t.co/LFTqmgJwa9</v>
      </c>
      <c r="AX216" s="76" t="b">
        <v>0</v>
      </c>
      <c r="AY216" s="76"/>
      <c r="AZ216" s="76"/>
      <c r="BA216" s="76" t="b">
        <v>1</v>
      </c>
      <c r="BB216" s="76" t="b">
        <v>1</v>
      </c>
      <c r="BC216" s="76" t="b">
        <v>0</v>
      </c>
      <c r="BD216" s="76" t="b">
        <v>0</v>
      </c>
      <c r="BE216" s="76" t="b">
        <v>0</v>
      </c>
      <c r="BF216" s="76" t="b">
        <v>0</v>
      </c>
      <c r="BG216" s="76" t="b">
        <v>0</v>
      </c>
      <c r="BH216" s="83" t="str">
        <f>HYPERLINK("https://pbs.twimg.com/profile_banners/886832413/1676454738")</f>
        <v>https://pbs.twimg.com/profile_banners/886832413/1676454738</v>
      </c>
      <c r="BI216" s="76"/>
      <c r="BJ216" s="76" t="s">
        <v>7245</v>
      </c>
      <c r="BK216" s="76" t="b">
        <v>0</v>
      </c>
      <c r="BL216" s="76"/>
      <c r="BM216" s="76" t="s">
        <v>65</v>
      </c>
      <c r="BN216" s="76" t="s">
        <v>7247</v>
      </c>
      <c r="BO216" s="83" t="str">
        <f>HYPERLINK("https://twitter.com/bitfinex")</f>
        <v>https://twitter.com/bitfinex</v>
      </c>
      <c r="BP216" s="2"/>
    </row>
    <row r="217" spans="1:68" x14ac:dyDescent="0.25">
      <c r="A217" s="62" t="s">
        <v>426</v>
      </c>
      <c r="B217" s="63"/>
      <c r="C217" s="63"/>
      <c r="D217" s="64"/>
      <c r="E217" s="66"/>
      <c r="F217" s="102" t="str">
        <f>HYPERLINK("https://pbs.twimg.com/profile_images/378800000391055410/af38c57b56487b3f94ed3570c602c4e7_normal.jpeg")</f>
        <v>https://pbs.twimg.com/profile_images/378800000391055410/af38c57b56487b3f94ed3570c602c4e7_normal.jpeg</v>
      </c>
      <c r="G217" s="63"/>
      <c r="H217" s="67"/>
      <c r="I217" s="68"/>
      <c r="J217" s="68"/>
      <c r="K217" s="67" t="s">
        <v>7461</v>
      </c>
      <c r="L217" s="71"/>
      <c r="M217" s="72"/>
      <c r="N217" s="72"/>
      <c r="O217" s="73"/>
      <c r="P217" s="74"/>
      <c r="Q217" s="74"/>
      <c r="R217" s="86"/>
      <c r="S217" s="86"/>
      <c r="T217" s="86"/>
      <c r="U217" s="86"/>
      <c r="V217" s="48"/>
      <c r="W217" s="48"/>
      <c r="X217" s="48"/>
      <c r="Y217" s="48"/>
      <c r="Z217" s="47"/>
      <c r="AA217" s="69">
        <v>217</v>
      </c>
      <c r="AB217" s="69"/>
      <c r="AC217" s="70"/>
      <c r="AD217" s="76" t="s">
        <v>6343</v>
      </c>
      <c r="AE217" s="81" t="s">
        <v>6525</v>
      </c>
      <c r="AF217" s="76">
        <v>213</v>
      </c>
      <c r="AG217" s="76">
        <v>760</v>
      </c>
      <c r="AH217" s="76">
        <v>1117</v>
      </c>
      <c r="AI217" s="76">
        <v>0</v>
      </c>
      <c r="AJ217" s="76">
        <v>784</v>
      </c>
      <c r="AK217" s="76">
        <v>29</v>
      </c>
      <c r="AL217" s="76" t="b">
        <v>0</v>
      </c>
      <c r="AM217" s="78">
        <v>41321.814074074071</v>
      </c>
      <c r="AN217" s="76" t="s">
        <v>6631</v>
      </c>
      <c r="AO217" s="76" t="s">
        <v>6864</v>
      </c>
      <c r="AP217" s="76"/>
      <c r="AQ217" s="76"/>
      <c r="AR217" s="76"/>
      <c r="AS217" s="76"/>
      <c r="AT217" s="76"/>
      <c r="AU217" s="76"/>
      <c r="AV217" s="76"/>
      <c r="AW217" s="76"/>
      <c r="AX217" s="76" t="b">
        <v>0</v>
      </c>
      <c r="AY217" s="76"/>
      <c r="AZ217" s="76"/>
      <c r="BA217" s="76" t="b">
        <v>0</v>
      </c>
      <c r="BB217" s="76" t="b">
        <v>1</v>
      </c>
      <c r="BC217" s="76" t="b">
        <v>1</v>
      </c>
      <c r="BD217" s="76" t="b">
        <v>0</v>
      </c>
      <c r="BE217" s="76" t="b">
        <v>1</v>
      </c>
      <c r="BF217" s="76" t="b">
        <v>0</v>
      </c>
      <c r="BG217" s="76" t="b">
        <v>0</v>
      </c>
      <c r="BH217" s="76"/>
      <c r="BI217" s="76"/>
      <c r="BJ217" s="76" t="s">
        <v>7245</v>
      </c>
      <c r="BK217" s="76" t="b">
        <v>0</v>
      </c>
      <c r="BL217" s="76"/>
      <c r="BM217" s="76" t="s">
        <v>66</v>
      </c>
      <c r="BN217" s="76" t="s">
        <v>7247</v>
      </c>
      <c r="BO217" s="83" t="str">
        <f>HYPERLINK("https://twitter.com/leaodocarnaval")</f>
        <v>https://twitter.com/leaodocarnaval</v>
      </c>
      <c r="BP217" s="2"/>
    </row>
    <row r="218" spans="1:68" x14ac:dyDescent="0.25">
      <c r="A218" s="62" t="s">
        <v>427</v>
      </c>
      <c r="B218" s="63"/>
      <c r="C218" s="63"/>
      <c r="D218" s="64"/>
      <c r="E218" s="66"/>
      <c r="F218" s="102" t="str">
        <f>HYPERLINK("https://pbs.twimg.com/profile_images/1705208609460625408/JjClzmyL_normal.jpg")</f>
        <v>https://pbs.twimg.com/profile_images/1705208609460625408/JjClzmyL_normal.jpg</v>
      </c>
      <c r="G218" s="63"/>
      <c r="H218" s="67"/>
      <c r="I218" s="68"/>
      <c r="J218" s="68"/>
      <c r="K218" s="67" t="s">
        <v>7462</v>
      </c>
      <c r="L218" s="71"/>
      <c r="M218" s="72"/>
      <c r="N218" s="72"/>
      <c r="O218" s="73"/>
      <c r="P218" s="74"/>
      <c r="Q218" s="74"/>
      <c r="R218" s="86"/>
      <c r="S218" s="86"/>
      <c r="T218" s="86"/>
      <c r="U218" s="86"/>
      <c r="V218" s="48"/>
      <c r="W218" s="48"/>
      <c r="X218" s="48"/>
      <c r="Y218" s="48"/>
      <c r="Z218" s="47"/>
      <c r="AA218" s="69">
        <v>218</v>
      </c>
      <c r="AB218" s="69"/>
      <c r="AC218" s="70"/>
      <c r="AD218" s="76" t="s">
        <v>6344</v>
      </c>
      <c r="AE218" s="81" t="s">
        <v>5597</v>
      </c>
      <c r="AF218" s="76">
        <v>8</v>
      </c>
      <c r="AG218" s="76">
        <v>15</v>
      </c>
      <c r="AH218" s="76">
        <v>11</v>
      </c>
      <c r="AI218" s="76">
        <v>0</v>
      </c>
      <c r="AJ218" s="76">
        <v>1</v>
      </c>
      <c r="AK218" s="76">
        <v>1</v>
      </c>
      <c r="AL218" s="76" t="b">
        <v>0</v>
      </c>
      <c r="AM218" s="78">
        <v>45191.519259259258</v>
      </c>
      <c r="AN218" s="76" t="s">
        <v>6579</v>
      </c>
      <c r="AO218" s="76" t="s">
        <v>6865</v>
      </c>
      <c r="AP218" s="76"/>
      <c r="AQ218" s="76"/>
      <c r="AR218" s="76"/>
      <c r="AS218" s="76"/>
      <c r="AT218" s="76"/>
      <c r="AU218" s="76"/>
      <c r="AV218" s="76"/>
      <c r="AW218" s="76"/>
      <c r="AX218" s="76" t="b">
        <v>0</v>
      </c>
      <c r="AY218" s="76"/>
      <c r="AZ218" s="76"/>
      <c r="BA218" s="76" t="b">
        <v>0</v>
      </c>
      <c r="BB218" s="76" t="b">
        <v>1</v>
      </c>
      <c r="BC218" s="76" t="b">
        <v>1</v>
      </c>
      <c r="BD218" s="76" t="b">
        <v>0</v>
      </c>
      <c r="BE218" s="76" t="b">
        <v>0</v>
      </c>
      <c r="BF218" s="76" t="b">
        <v>0</v>
      </c>
      <c r="BG218" s="76" t="b">
        <v>0</v>
      </c>
      <c r="BH218" s="76"/>
      <c r="BI218" s="76"/>
      <c r="BJ218" s="76" t="s">
        <v>7245</v>
      </c>
      <c r="BK218" s="76" t="b">
        <v>0</v>
      </c>
      <c r="BL218" s="76"/>
      <c r="BM218" s="76" t="s">
        <v>66</v>
      </c>
      <c r="BN218" s="76" t="s">
        <v>7247</v>
      </c>
      <c r="BO218" s="83" t="str">
        <f>HYPERLINK("https://twitter.com/web3pt")</f>
        <v>https://twitter.com/web3pt</v>
      </c>
      <c r="BP218" s="2"/>
    </row>
    <row r="219" spans="1:68" x14ac:dyDescent="0.25">
      <c r="A219" s="62" t="s">
        <v>428</v>
      </c>
      <c r="B219" s="63"/>
      <c r="C219" s="63"/>
      <c r="D219" s="64"/>
      <c r="E219" s="66"/>
      <c r="F219" s="102" t="str">
        <f>HYPERLINK("https://pbs.twimg.com/profile_images/1657211492993777664/SJGrnlKQ_normal.jpg")</f>
        <v>https://pbs.twimg.com/profile_images/1657211492993777664/SJGrnlKQ_normal.jpg</v>
      </c>
      <c r="G219" s="63"/>
      <c r="H219" s="67"/>
      <c r="I219" s="68"/>
      <c r="J219" s="68"/>
      <c r="K219" s="67" t="s">
        <v>7463</v>
      </c>
      <c r="L219" s="71"/>
      <c r="M219" s="72"/>
      <c r="N219" s="72"/>
      <c r="O219" s="73"/>
      <c r="P219" s="74"/>
      <c r="Q219" s="74"/>
      <c r="R219" s="86"/>
      <c r="S219" s="86"/>
      <c r="T219" s="86"/>
      <c r="U219" s="86"/>
      <c r="V219" s="48"/>
      <c r="W219" s="48"/>
      <c r="X219" s="48"/>
      <c r="Y219" s="48"/>
      <c r="Z219" s="47"/>
      <c r="AA219" s="69">
        <v>219</v>
      </c>
      <c r="AB219" s="69"/>
      <c r="AC219" s="70"/>
      <c r="AD219" s="76" t="s">
        <v>6345</v>
      </c>
      <c r="AE219" s="81" t="s">
        <v>6001</v>
      </c>
      <c r="AF219" s="76">
        <v>3178</v>
      </c>
      <c r="AG219" s="76">
        <v>4994</v>
      </c>
      <c r="AH219" s="76">
        <v>31128</v>
      </c>
      <c r="AI219" s="76">
        <v>3</v>
      </c>
      <c r="AJ219" s="76">
        <v>5837</v>
      </c>
      <c r="AK219" s="76">
        <v>8523</v>
      </c>
      <c r="AL219" s="76" t="b">
        <v>0</v>
      </c>
      <c r="AM219" s="78">
        <v>43878.619201388887</v>
      </c>
      <c r="AN219" s="76" t="s">
        <v>6561</v>
      </c>
      <c r="AO219" s="76" t="s">
        <v>6866</v>
      </c>
      <c r="AP219" s="83" t="str">
        <f>HYPERLINK("https://t.co/BlMGPAouV7")</f>
        <v>https://t.co/BlMGPAouV7</v>
      </c>
      <c r="AQ219" s="83" t="str">
        <f>HYPERLINK("http://www.atletico.com.br")</f>
        <v>http://www.atletico.com.br</v>
      </c>
      <c r="AR219" s="76" t="s">
        <v>7117</v>
      </c>
      <c r="AS219" s="76"/>
      <c r="AT219" s="76"/>
      <c r="AU219" s="76"/>
      <c r="AV219" s="76">
        <v>1.4450857351079401E+18</v>
      </c>
      <c r="AW219" s="83" t="str">
        <f>HYPERLINK("https://t.co/BlMGPAouV7")</f>
        <v>https://t.co/BlMGPAouV7</v>
      </c>
      <c r="AX219" s="76" t="b">
        <v>0</v>
      </c>
      <c r="AY219" s="76"/>
      <c r="AZ219" s="76"/>
      <c r="BA219" s="76" t="b">
        <v>1</v>
      </c>
      <c r="BB219" s="76" t="b">
        <v>1</v>
      </c>
      <c r="BC219" s="76" t="b">
        <v>1</v>
      </c>
      <c r="BD219" s="76" t="b">
        <v>0</v>
      </c>
      <c r="BE219" s="76" t="b">
        <v>1</v>
      </c>
      <c r="BF219" s="76" t="b">
        <v>0</v>
      </c>
      <c r="BG219" s="76" t="b">
        <v>0</v>
      </c>
      <c r="BH219" s="83" t="str">
        <f>HYPERLINK("https://pbs.twimg.com/profile_banners/1229418075633700866/1676319821")</f>
        <v>https://pbs.twimg.com/profile_banners/1229418075633700866/1676319821</v>
      </c>
      <c r="BI219" s="76"/>
      <c r="BJ219" s="76" t="s">
        <v>7245</v>
      </c>
      <c r="BK219" s="76" t="b">
        <v>0</v>
      </c>
      <c r="BL219" s="76"/>
      <c r="BM219" s="76" t="s">
        <v>66</v>
      </c>
      <c r="BN219" s="76" t="s">
        <v>7247</v>
      </c>
      <c r="BO219" s="83" t="str">
        <f>HYPERLINK("https://twitter.com/galaoda13")</f>
        <v>https://twitter.com/galaoda13</v>
      </c>
      <c r="BP219" s="2"/>
    </row>
    <row r="220" spans="1:68" x14ac:dyDescent="0.25">
      <c r="A220" s="62" t="s">
        <v>429</v>
      </c>
      <c r="B220" s="63"/>
      <c r="C220" s="63"/>
      <c r="D220" s="64"/>
      <c r="E220" s="66"/>
      <c r="F220" s="102" t="str">
        <f>HYPERLINK("https://pbs.twimg.com/profile_images/1615501037283975171/ycPlUEDC_normal.jpg")</f>
        <v>https://pbs.twimg.com/profile_images/1615501037283975171/ycPlUEDC_normal.jpg</v>
      </c>
      <c r="G220" s="63"/>
      <c r="H220" s="67"/>
      <c r="I220" s="68"/>
      <c r="J220" s="68"/>
      <c r="K220" s="67" t="s">
        <v>7464</v>
      </c>
      <c r="L220" s="71"/>
      <c r="M220" s="72"/>
      <c r="N220" s="72"/>
      <c r="O220" s="73"/>
      <c r="P220" s="74"/>
      <c r="Q220" s="74"/>
      <c r="R220" s="86"/>
      <c r="S220" s="86"/>
      <c r="T220" s="86"/>
      <c r="U220" s="86"/>
      <c r="V220" s="48"/>
      <c r="W220" s="48"/>
      <c r="X220" s="48"/>
      <c r="Y220" s="48"/>
      <c r="Z220" s="47"/>
      <c r="AA220" s="69">
        <v>220</v>
      </c>
      <c r="AB220" s="69"/>
      <c r="AC220" s="70"/>
      <c r="AD220" s="76" t="s">
        <v>6346</v>
      </c>
      <c r="AE220" s="81" t="s">
        <v>6002</v>
      </c>
      <c r="AF220" s="76">
        <v>173</v>
      </c>
      <c r="AG220" s="76">
        <v>29</v>
      </c>
      <c r="AH220" s="76">
        <v>1817</v>
      </c>
      <c r="AI220" s="76">
        <v>1</v>
      </c>
      <c r="AJ220" s="76">
        <v>1452</v>
      </c>
      <c r="AK220" s="76">
        <v>407</v>
      </c>
      <c r="AL220" s="76" t="b">
        <v>0</v>
      </c>
      <c r="AM220" s="78">
        <v>43304.010983796295</v>
      </c>
      <c r="AN220" s="76" t="s">
        <v>3752</v>
      </c>
      <c r="AO220" s="76" t="s">
        <v>6867</v>
      </c>
      <c r="AP220" s="83" t="str">
        <f>HYPERLINK("https://t.co/0nLoLOS7GB")</f>
        <v>https://t.co/0nLoLOS7GB</v>
      </c>
      <c r="AQ220" s="83" t="str">
        <f>HYPERLINK("https://www.trendsetconsulting.com/pt")</f>
        <v>https://www.trendsetconsulting.com/pt</v>
      </c>
      <c r="AR220" s="76" t="s">
        <v>7118</v>
      </c>
      <c r="AS220" s="76" t="s">
        <v>7209</v>
      </c>
      <c r="AT220" s="76" t="s">
        <v>7216</v>
      </c>
      <c r="AU220" s="76" t="s">
        <v>7238</v>
      </c>
      <c r="AV220" s="76">
        <v>1.70498761053874E+18</v>
      </c>
      <c r="AW220" s="83" t="str">
        <f>HYPERLINK("https://t.co/0nLoLOS7GB")</f>
        <v>https://t.co/0nLoLOS7GB</v>
      </c>
      <c r="AX220" s="76" t="b">
        <v>0</v>
      </c>
      <c r="AY220" s="76"/>
      <c r="AZ220" s="76"/>
      <c r="BA220" s="76" t="b">
        <v>1</v>
      </c>
      <c r="BB220" s="76" t="b">
        <v>1</v>
      </c>
      <c r="BC220" s="76" t="b">
        <v>1</v>
      </c>
      <c r="BD220" s="76" t="b">
        <v>0</v>
      </c>
      <c r="BE220" s="76" t="b">
        <v>1</v>
      </c>
      <c r="BF220" s="76" t="b">
        <v>0</v>
      </c>
      <c r="BG220" s="76" t="b">
        <v>0</v>
      </c>
      <c r="BH220" s="83" t="str">
        <f>HYPERLINK("https://pbs.twimg.com/profile_banners/1021187088480260096/1681679873")</f>
        <v>https://pbs.twimg.com/profile_banners/1021187088480260096/1681679873</v>
      </c>
      <c r="BI220" s="76"/>
      <c r="BJ220" s="76" t="s">
        <v>7245</v>
      </c>
      <c r="BK220" s="76" t="b">
        <v>0</v>
      </c>
      <c r="BL220" s="76"/>
      <c r="BM220" s="76" t="s">
        <v>66</v>
      </c>
      <c r="BN220" s="76" t="s">
        <v>7247</v>
      </c>
      <c r="BO220" s="83" t="str">
        <f>HYPERLINK("https://twitter.com/arthurvallephd")</f>
        <v>https://twitter.com/arthurvallephd</v>
      </c>
      <c r="BP220" s="2"/>
    </row>
    <row r="221" spans="1:68" x14ac:dyDescent="0.25">
      <c r="A221" s="62" t="s">
        <v>430</v>
      </c>
      <c r="B221" s="63"/>
      <c r="C221" s="63"/>
      <c r="D221" s="64"/>
      <c r="E221" s="66"/>
      <c r="F221" s="102" t="str">
        <f>HYPERLINK("https://pbs.twimg.com/profile_images/1686086918222589952/6Iva1pFO_normal.jpg")</f>
        <v>https://pbs.twimg.com/profile_images/1686086918222589952/6Iva1pFO_normal.jpg</v>
      </c>
      <c r="G221" s="63"/>
      <c r="H221" s="67"/>
      <c r="I221" s="68"/>
      <c r="J221" s="68"/>
      <c r="K221" s="67" t="s">
        <v>7465</v>
      </c>
      <c r="L221" s="71"/>
      <c r="M221" s="72"/>
      <c r="N221" s="72"/>
      <c r="O221" s="73"/>
      <c r="P221" s="74"/>
      <c r="Q221" s="74"/>
      <c r="R221" s="86"/>
      <c r="S221" s="86"/>
      <c r="T221" s="86"/>
      <c r="U221" s="86"/>
      <c r="V221" s="48"/>
      <c r="W221" s="48"/>
      <c r="X221" s="48"/>
      <c r="Y221" s="48"/>
      <c r="Z221" s="47"/>
      <c r="AA221" s="69">
        <v>221</v>
      </c>
      <c r="AB221" s="69"/>
      <c r="AC221" s="70"/>
      <c r="AD221" s="76" t="s">
        <v>6347</v>
      </c>
      <c r="AE221" s="81" t="s">
        <v>6003</v>
      </c>
      <c r="AF221" s="76">
        <v>10</v>
      </c>
      <c r="AG221" s="76">
        <v>15</v>
      </c>
      <c r="AH221" s="76">
        <v>320</v>
      </c>
      <c r="AI221" s="76">
        <v>1</v>
      </c>
      <c r="AJ221" s="76">
        <v>77</v>
      </c>
      <c r="AK221" s="76">
        <v>176</v>
      </c>
      <c r="AL221" s="76" t="b">
        <v>0</v>
      </c>
      <c r="AM221" s="78">
        <v>45138.783946759257</v>
      </c>
      <c r="AN221" s="76" t="s">
        <v>6632</v>
      </c>
      <c r="AO221" s="76" t="s">
        <v>6868</v>
      </c>
      <c r="AP221" s="83" t="str">
        <f>HYPERLINK("https://t.co/l1mZLmngwX")</f>
        <v>https://t.co/l1mZLmngwX</v>
      </c>
      <c r="AQ221" s="83" t="str">
        <f>HYPERLINK("https://linktr.ee/carlosteles_")</f>
        <v>https://linktr.ee/carlosteles_</v>
      </c>
      <c r="AR221" s="76" t="s">
        <v>7119</v>
      </c>
      <c r="AS221" s="76"/>
      <c r="AT221" s="76"/>
      <c r="AU221" s="76"/>
      <c r="AV221" s="76"/>
      <c r="AW221" s="83" t="str">
        <f>HYPERLINK("https://t.co/l1mZLmngwX")</f>
        <v>https://t.co/l1mZLmngwX</v>
      </c>
      <c r="AX221" s="76" t="b">
        <v>0</v>
      </c>
      <c r="AY221" s="76"/>
      <c r="AZ221" s="76"/>
      <c r="BA221" s="76" t="b">
        <v>0</v>
      </c>
      <c r="BB221" s="76" t="b">
        <v>1</v>
      </c>
      <c r="BC221" s="76" t="b">
        <v>1</v>
      </c>
      <c r="BD221" s="76" t="b">
        <v>0</v>
      </c>
      <c r="BE221" s="76" t="b">
        <v>0</v>
      </c>
      <c r="BF221" s="76" t="b">
        <v>0</v>
      </c>
      <c r="BG221" s="76" t="b">
        <v>0</v>
      </c>
      <c r="BH221" s="83" t="str">
        <f>HYPERLINK("https://pbs.twimg.com/profile_banners/1686086283305660417/1690833564")</f>
        <v>https://pbs.twimg.com/profile_banners/1686086283305660417/1690833564</v>
      </c>
      <c r="BI221" s="76"/>
      <c r="BJ221" s="76" t="s">
        <v>7245</v>
      </c>
      <c r="BK221" s="76" t="b">
        <v>0</v>
      </c>
      <c r="BL221" s="76"/>
      <c r="BM221" s="76" t="s">
        <v>66</v>
      </c>
      <c r="BN221" s="76" t="s">
        <v>7247</v>
      </c>
      <c r="BO221" s="83" t="str">
        <f>HYPERLINK("https://twitter.com/carlosteles__")</f>
        <v>https://twitter.com/carlosteles__</v>
      </c>
      <c r="BP221" s="2"/>
    </row>
    <row r="222" spans="1:68" x14ac:dyDescent="0.25">
      <c r="A222" s="62" t="s">
        <v>431</v>
      </c>
      <c r="B222" s="63"/>
      <c r="C222" s="63"/>
      <c r="D222" s="64"/>
      <c r="E222" s="66"/>
      <c r="F222" s="102" t="str">
        <f>HYPERLINK("https://pbs.twimg.com/profile_images/1702404088636272640/Wnu7Ia8H_normal.jpg")</f>
        <v>https://pbs.twimg.com/profile_images/1702404088636272640/Wnu7Ia8H_normal.jpg</v>
      </c>
      <c r="G222" s="63"/>
      <c r="H222" s="67"/>
      <c r="I222" s="68"/>
      <c r="J222" s="68"/>
      <c r="K222" s="67" t="s">
        <v>7466</v>
      </c>
      <c r="L222" s="71"/>
      <c r="M222" s="72"/>
      <c r="N222" s="72"/>
      <c r="O222" s="73"/>
      <c r="P222" s="74"/>
      <c r="Q222" s="74"/>
      <c r="R222" s="86"/>
      <c r="S222" s="86"/>
      <c r="T222" s="86"/>
      <c r="U222" s="86"/>
      <c r="V222" s="48"/>
      <c r="W222" s="48"/>
      <c r="X222" s="48"/>
      <c r="Y222" s="48"/>
      <c r="Z222" s="47"/>
      <c r="AA222" s="69">
        <v>222</v>
      </c>
      <c r="AB222" s="69"/>
      <c r="AC222" s="70"/>
      <c r="AD222" s="76" t="s">
        <v>6348</v>
      </c>
      <c r="AE222" s="81" t="s">
        <v>6004</v>
      </c>
      <c r="AF222" s="76">
        <v>2</v>
      </c>
      <c r="AG222" s="76">
        <v>17</v>
      </c>
      <c r="AH222" s="76">
        <v>19</v>
      </c>
      <c r="AI222" s="76">
        <v>0</v>
      </c>
      <c r="AJ222" s="76">
        <v>4</v>
      </c>
      <c r="AK222" s="76">
        <v>6</v>
      </c>
      <c r="AL222" s="76" t="b">
        <v>0</v>
      </c>
      <c r="AM222" s="78">
        <v>45170.896747685183</v>
      </c>
      <c r="AN222" s="76"/>
      <c r="AO222" s="76" t="s">
        <v>6869</v>
      </c>
      <c r="AP222" s="76"/>
      <c r="AQ222" s="76"/>
      <c r="AR222" s="76"/>
      <c r="AS222" s="76"/>
      <c r="AT222" s="76"/>
      <c r="AU222" s="76"/>
      <c r="AV222" s="76"/>
      <c r="AW222" s="76"/>
      <c r="AX222" s="76" t="b">
        <v>0</v>
      </c>
      <c r="AY222" s="76"/>
      <c r="AZ222" s="76"/>
      <c r="BA222" s="76" t="b">
        <v>0</v>
      </c>
      <c r="BB222" s="76" t="b">
        <v>1</v>
      </c>
      <c r="BC222" s="76" t="b">
        <v>1</v>
      </c>
      <c r="BD222" s="76" t="b">
        <v>0</v>
      </c>
      <c r="BE222" s="76" t="b">
        <v>0</v>
      </c>
      <c r="BF222" s="76" t="b">
        <v>0</v>
      </c>
      <c r="BG222" s="76" t="b">
        <v>0</v>
      </c>
      <c r="BH222" s="83" t="str">
        <f>HYPERLINK("https://pbs.twimg.com/profile_banners/1697723671329058816/1694882424")</f>
        <v>https://pbs.twimg.com/profile_banners/1697723671329058816/1694882424</v>
      </c>
      <c r="BI222" s="76"/>
      <c r="BJ222" s="76" t="s">
        <v>7245</v>
      </c>
      <c r="BK222" s="76" t="b">
        <v>0</v>
      </c>
      <c r="BL222" s="76"/>
      <c r="BM222" s="76" t="s">
        <v>66</v>
      </c>
      <c r="BN222" s="76" t="s">
        <v>7247</v>
      </c>
      <c r="BO222" s="83" t="str">
        <f>HYPERLINK("https://twitter.com/cludiamarq69376")</f>
        <v>https://twitter.com/cludiamarq69376</v>
      </c>
      <c r="BP222" s="2"/>
    </row>
    <row r="223" spans="1:68" x14ac:dyDescent="0.25">
      <c r="A223" s="62" t="s">
        <v>432</v>
      </c>
      <c r="B223" s="63"/>
      <c r="C223" s="63"/>
      <c r="D223" s="64"/>
      <c r="E223" s="66"/>
      <c r="F223" s="102" t="str">
        <f>HYPERLINK("https://pbs.twimg.com/profile_images/1627382812205543425/CBj0biKe_normal.jpg")</f>
        <v>https://pbs.twimg.com/profile_images/1627382812205543425/CBj0biKe_normal.jpg</v>
      </c>
      <c r="G223" s="63"/>
      <c r="H223" s="67"/>
      <c r="I223" s="68"/>
      <c r="J223" s="68"/>
      <c r="K223" s="67" t="s">
        <v>7467</v>
      </c>
      <c r="L223" s="71"/>
      <c r="M223" s="72"/>
      <c r="N223" s="72"/>
      <c r="O223" s="73"/>
      <c r="P223" s="74"/>
      <c r="Q223" s="74"/>
      <c r="R223" s="86"/>
      <c r="S223" s="86"/>
      <c r="T223" s="86"/>
      <c r="U223" s="86"/>
      <c r="V223" s="48"/>
      <c r="W223" s="48"/>
      <c r="X223" s="48"/>
      <c r="Y223" s="48"/>
      <c r="Z223" s="47"/>
      <c r="AA223" s="69">
        <v>223</v>
      </c>
      <c r="AB223" s="69"/>
      <c r="AC223" s="70"/>
      <c r="AD223" s="76" t="s">
        <v>6349</v>
      </c>
      <c r="AE223" s="81" t="s">
        <v>6526</v>
      </c>
      <c r="AF223" s="76">
        <v>15</v>
      </c>
      <c r="AG223" s="76">
        <v>57</v>
      </c>
      <c r="AH223" s="76">
        <v>495</v>
      </c>
      <c r="AI223" s="76">
        <v>0</v>
      </c>
      <c r="AJ223" s="76">
        <v>1006</v>
      </c>
      <c r="AK223" s="76">
        <v>29</v>
      </c>
      <c r="AL223" s="76" t="b">
        <v>0</v>
      </c>
      <c r="AM223" s="78">
        <v>40679.904548611114</v>
      </c>
      <c r="AN223" s="76"/>
      <c r="AO223" s="76" t="s">
        <v>6870</v>
      </c>
      <c r="AP223" s="83" t="str">
        <f>HYPERLINK("https://t.co/oAfWbzNZBv")</f>
        <v>https://t.co/oAfWbzNZBv</v>
      </c>
      <c r="AQ223" s="83" t="str">
        <f>HYPERLINK("https://instabio.cc/maybrand")</f>
        <v>https://instabio.cc/maybrand</v>
      </c>
      <c r="AR223" s="76" t="s">
        <v>7120</v>
      </c>
      <c r="AS223" s="76"/>
      <c r="AT223" s="76"/>
      <c r="AU223" s="76"/>
      <c r="AV223" s="76"/>
      <c r="AW223" s="83" t="str">
        <f>HYPERLINK("https://t.co/oAfWbzNZBv")</f>
        <v>https://t.co/oAfWbzNZBv</v>
      </c>
      <c r="AX223" s="76" t="b">
        <v>0</v>
      </c>
      <c r="AY223" s="76"/>
      <c r="AZ223" s="76"/>
      <c r="BA223" s="76" t="b">
        <v>0</v>
      </c>
      <c r="BB223" s="76" t="b">
        <v>1</v>
      </c>
      <c r="BC223" s="76" t="b">
        <v>0</v>
      </c>
      <c r="BD223" s="76" t="b">
        <v>0</v>
      </c>
      <c r="BE223" s="76" t="b">
        <v>0</v>
      </c>
      <c r="BF223" s="76" t="b">
        <v>0</v>
      </c>
      <c r="BG223" s="76" t="b">
        <v>0</v>
      </c>
      <c r="BH223" s="83" t="str">
        <f>HYPERLINK("https://pbs.twimg.com/profile_banners/299907538/1668917997")</f>
        <v>https://pbs.twimg.com/profile_banners/299907538/1668917997</v>
      </c>
      <c r="BI223" s="76"/>
      <c r="BJ223" s="76" t="s">
        <v>7245</v>
      </c>
      <c r="BK223" s="76" t="b">
        <v>0</v>
      </c>
      <c r="BL223" s="76"/>
      <c r="BM223" s="76" t="s">
        <v>66</v>
      </c>
      <c r="BN223" s="76" t="s">
        <v>7247</v>
      </c>
      <c r="BO223" s="83" t="str">
        <f>HYPERLINK("https://twitter.com/maycomprei")</f>
        <v>https://twitter.com/maycomprei</v>
      </c>
      <c r="BP223" s="2"/>
    </row>
    <row r="224" spans="1:68" x14ac:dyDescent="0.25">
      <c r="A224" s="62" t="s">
        <v>433</v>
      </c>
      <c r="B224" s="63"/>
      <c r="C224" s="63"/>
      <c r="D224" s="64"/>
      <c r="E224" s="66"/>
      <c r="F224" s="102" t="str">
        <f>HYPERLINK("https://pbs.twimg.com/profile_images/1617627128605949954/-kKKlOMk_normal.jpg")</f>
        <v>https://pbs.twimg.com/profile_images/1617627128605949954/-kKKlOMk_normal.jpg</v>
      </c>
      <c r="G224" s="63"/>
      <c r="H224" s="67"/>
      <c r="I224" s="68"/>
      <c r="J224" s="68"/>
      <c r="K224" s="67" t="s">
        <v>7468</v>
      </c>
      <c r="L224" s="71"/>
      <c r="M224" s="72"/>
      <c r="N224" s="72"/>
      <c r="O224" s="73"/>
      <c r="P224" s="74"/>
      <c r="Q224" s="74"/>
      <c r="R224" s="86"/>
      <c r="S224" s="86"/>
      <c r="T224" s="86"/>
      <c r="U224" s="86"/>
      <c r="V224" s="48"/>
      <c r="W224" s="48"/>
      <c r="X224" s="48"/>
      <c r="Y224" s="48"/>
      <c r="Z224" s="47"/>
      <c r="AA224" s="69">
        <v>224</v>
      </c>
      <c r="AB224" s="69"/>
      <c r="AC224" s="70"/>
      <c r="AD224" s="76" t="s">
        <v>6350</v>
      </c>
      <c r="AE224" s="81" t="s">
        <v>6005</v>
      </c>
      <c r="AF224" s="76">
        <v>5</v>
      </c>
      <c r="AG224" s="76">
        <v>70</v>
      </c>
      <c r="AH224" s="76">
        <v>164</v>
      </c>
      <c r="AI224" s="76">
        <v>0</v>
      </c>
      <c r="AJ224" s="76">
        <v>10</v>
      </c>
      <c r="AK224" s="76">
        <v>23</v>
      </c>
      <c r="AL224" s="76" t="b">
        <v>0</v>
      </c>
      <c r="AM224" s="78">
        <v>44949.709907407407</v>
      </c>
      <c r="AN224" s="76" t="s">
        <v>6633</v>
      </c>
      <c r="AO224" s="76" t="s">
        <v>6871</v>
      </c>
      <c r="AP224" s="76"/>
      <c r="AQ224" s="76"/>
      <c r="AR224" s="76"/>
      <c r="AS224" s="76"/>
      <c r="AT224" s="76"/>
      <c r="AU224" s="76"/>
      <c r="AV224" s="76">
        <v>1.61759864855186E+18</v>
      </c>
      <c r="AW224" s="76"/>
      <c r="AX224" s="76" t="b">
        <v>0</v>
      </c>
      <c r="AY224" s="76"/>
      <c r="AZ224" s="76"/>
      <c r="BA224" s="76" t="b">
        <v>0</v>
      </c>
      <c r="BB224" s="76" t="b">
        <v>1</v>
      </c>
      <c r="BC224" s="76" t="b">
        <v>1</v>
      </c>
      <c r="BD224" s="76" t="b">
        <v>0</v>
      </c>
      <c r="BE224" s="76" t="b">
        <v>1</v>
      </c>
      <c r="BF224" s="76" t="b">
        <v>0</v>
      </c>
      <c r="BG224" s="76" t="b">
        <v>0</v>
      </c>
      <c r="BH224" s="83" t="str">
        <f>HYPERLINK("https://pbs.twimg.com/profile_banners/1617568330553999385/1674507939")</f>
        <v>https://pbs.twimg.com/profile_banners/1617568330553999385/1674507939</v>
      </c>
      <c r="BI224" s="76"/>
      <c r="BJ224" s="76" t="s">
        <v>7245</v>
      </c>
      <c r="BK224" s="76" t="b">
        <v>0</v>
      </c>
      <c r="BL224" s="76"/>
      <c r="BM224" s="76" t="s">
        <v>66</v>
      </c>
      <c r="BN224" s="76" t="s">
        <v>7247</v>
      </c>
      <c r="BO224" s="83" t="str">
        <f>HYPERLINK("https://twitter.com/explibertario")</f>
        <v>https://twitter.com/explibertario</v>
      </c>
      <c r="BP224" s="2"/>
    </row>
    <row r="225" spans="1:68" x14ac:dyDescent="0.25">
      <c r="A225" s="62" t="s">
        <v>434</v>
      </c>
      <c r="B225" s="63"/>
      <c r="C225" s="63"/>
      <c r="D225" s="64"/>
      <c r="E225" s="66"/>
      <c r="F225" s="102" t="str">
        <f>HYPERLINK("https://pbs.twimg.com/profile_images/1417120451755663368/-SfZzyXw_normal.png")</f>
        <v>https://pbs.twimg.com/profile_images/1417120451755663368/-SfZzyXw_normal.png</v>
      </c>
      <c r="G225" s="63"/>
      <c r="H225" s="67"/>
      <c r="I225" s="68"/>
      <c r="J225" s="68"/>
      <c r="K225" s="67" t="s">
        <v>7469</v>
      </c>
      <c r="L225" s="71"/>
      <c r="M225" s="72"/>
      <c r="N225" s="72"/>
      <c r="O225" s="73"/>
      <c r="P225" s="74"/>
      <c r="Q225" s="74"/>
      <c r="R225" s="86"/>
      <c r="S225" s="86"/>
      <c r="T225" s="86"/>
      <c r="U225" s="86"/>
      <c r="V225" s="48"/>
      <c r="W225" s="48"/>
      <c r="X225" s="48"/>
      <c r="Y225" s="48"/>
      <c r="Z225" s="47"/>
      <c r="AA225" s="69">
        <v>225</v>
      </c>
      <c r="AB225" s="69"/>
      <c r="AC225" s="70"/>
      <c r="AD225" s="76" t="s">
        <v>6351</v>
      </c>
      <c r="AE225" s="81" t="s">
        <v>6006</v>
      </c>
      <c r="AF225" s="76">
        <v>109</v>
      </c>
      <c r="AG225" s="76">
        <v>33</v>
      </c>
      <c r="AH225" s="76">
        <v>151</v>
      </c>
      <c r="AI225" s="76">
        <v>5</v>
      </c>
      <c r="AJ225" s="76">
        <v>32</v>
      </c>
      <c r="AK225" s="76">
        <v>81</v>
      </c>
      <c r="AL225" s="76" t="b">
        <v>0</v>
      </c>
      <c r="AM225" s="78">
        <v>44396.577534722222</v>
      </c>
      <c r="AN225" s="76" t="s">
        <v>6579</v>
      </c>
      <c r="AO225" s="76" t="s">
        <v>6872</v>
      </c>
      <c r="AP225" s="83" t="str">
        <f>HYPERLINK("https://t.co/10xVkdyqFh")</f>
        <v>https://t.co/10xVkdyqFh</v>
      </c>
      <c r="AQ225" s="83" t="str">
        <f>HYPERLINK("http://www.investidorfrugal.com")</f>
        <v>http://www.investidorfrugal.com</v>
      </c>
      <c r="AR225" s="76" t="s">
        <v>7121</v>
      </c>
      <c r="AS225" s="76"/>
      <c r="AT225" s="76"/>
      <c r="AU225" s="76"/>
      <c r="AV225" s="76"/>
      <c r="AW225" s="83" t="str">
        <f>HYPERLINK("https://t.co/10xVkdyqFh")</f>
        <v>https://t.co/10xVkdyqFh</v>
      </c>
      <c r="AX225" s="76" t="b">
        <v>0</v>
      </c>
      <c r="AY225" s="76"/>
      <c r="AZ225" s="76"/>
      <c r="BA225" s="76" t="b">
        <v>0</v>
      </c>
      <c r="BB225" s="76" t="b">
        <v>1</v>
      </c>
      <c r="BC225" s="76" t="b">
        <v>1</v>
      </c>
      <c r="BD225" s="76" t="b">
        <v>0</v>
      </c>
      <c r="BE225" s="76" t="b">
        <v>0</v>
      </c>
      <c r="BF225" s="76" t="b">
        <v>0</v>
      </c>
      <c r="BG225" s="76" t="b">
        <v>0</v>
      </c>
      <c r="BH225" s="83" t="str">
        <f>HYPERLINK("https://pbs.twimg.com/profile_banners/1417118645533151233/1626702939")</f>
        <v>https://pbs.twimg.com/profile_banners/1417118645533151233/1626702939</v>
      </c>
      <c r="BI225" s="76"/>
      <c r="BJ225" s="76" t="s">
        <v>7245</v>
      </c>
      <c r="BK225" s="76" t="b">
        <v>0</v>
      </c>
      <c r="BL225" s="76"/>
      <c r="BM225" s="76" t="s">
        <v>66</v>
      </c>
      <c r="BN225" s="76" t="s">
        <v>7247</v>
      </c>
      <c r="BO225" s="83" t="str">
        <f>HYPERLINK("https://twitter.com/investfrugal")</f>
        <v>https://twitter.com/investfrugal</v>
      </c>
      <c r="BP225" s="2"/>
    </row>
    <row r="226" spans="1:68" x14ac:dyDescent="0.25">
      <c r="A226" s="62" t="s">
        <v>435</v>
      </c>
      <c r="B226" s="63"/>
      <c r="C226" s="63"/>
      <c r="D226" s="64"/>
      <c r="E226" s="66"/>
      <c r="F226" s="102" t="str">
        <f>HYPERLINK("https://pbs.twimg.com/profile_images/1407757576972947459/IhBmw9QN_normal.jpg")</f>
        <v>https://pbs.twimg.com/profile_images/1407757576972947459/IhBmw9QN_normal.jpg</v>
      </c>
      <c r="G226" s="63"/>
      <c r="H226" s="67"/>
      <c r="I226" s="68"/>
      <c r="J226" s="68"/>
      <c r="K226" s="67" t="s">
        <v>7470</v>
      </c>
      <c r="L226" s="71"/>
      <c r="M226" s="72"/>
      <c r="N226" s="72"/>
      <c r="O226" s="73"/>
      <c r="P226" s="74"/>
      <c r="Q226" s="74"/>
      <c r="R226" s="86"/>
      <c r="S226" s="86"/>
      <c r="T226" s="86"/>
      <c r="U226" s="86"/>
      <c r="V226" s="48"/>
      <c r="W226" s="48"/>
      <c r="X226" s="48"/>
      <c r="Y226" s="48"/>
      <c r="Z226" s="47"/>
      <c r="AA226" s="69">
        <v>226</v>
      </c>
      <c r="AB226" s="69"/>
      <c r="AC226" s="70"/>
      <c r="AD226" s="76" t="s">
        <v>6352</v>
      </c>
      <c r="AE226" s="81" t="s">
        <v>6007</v>
      </c>
      <c r="AF226" s="76">
        <v>89</v>
      </c>
      <c r="AG226" s="76">
        <v>9</v>
      </c>
      <c r="AH226" s="76">
        <v>382</v>
      </c>
      <c r="AI226" s="76">
        <v>2</v>
      </c>
      <c r="AJ226" s="76">
        <v>48</v>
      </c>
      <c r="AK226" s="76">
        <v>346</v>
      </c>
      <c r="AL226" s="76" t="b">
        <v>0</v>
      </c>
      <c r="AM226" s="78">
        <v>42587.274097222224</v>
      </c>
      <c r="AN226" s="76" t="s">
        <v>3760</v>
      </c>
      <c r="AO226" s="76" t="s">
        <v>6873</v>
      </c>
      <c r="AP226" s="83" t="str">
        <f>HYPERLINK("https://t.co/SsAM9nDjnA")</f>
        <v>https://t.co/SsAM9nDjnA</v>
      </c>
      <c r="AQ226" s="83" t="str">
        <f>HYPERLINK("http://www.atlanticbankglobal.com")</f>
        <v>http://www.atlanticbankglobal.com</v>
      </c>
      <c r="AR226" s="76" t="s">
        <v>7122</v>
      </c>
      <c r="AS226" s="76"/>
      <c r="AT226" s="76"/>
      <c r="AU226" s="76"/>
      <c r="AV226" s="76"/>
      <c r="AW226" s="83" t="str">
        <f>HYPERLINK("https://t.co/SsAM9nDjnA")</f>
        <v>https://t.co/SsAM9nDjnA</v>
      </c>
      <c r="AX226" s="76" t="b">
        <v>0</v>
      </c>
      <c r="AY226" s="76"/>
      <c r="AZ226" s="76"/>
      <c r="BA226" s="76" t="b">
        <v>1</v>
      </c>
      <c r="BB226" s="76" t="b">
        <v>1</v>
      </c>
      <c r="BC226" s="76" t="b">
        <v>1</v>
      </c>
      <c r="BD226" s="76" t="b">
        <v>0</v>
      </c>
      <c r="BE226" s="76" t="b">
        <v>0</v>
      </c>
      <c r="BF226" s="76" t="b">
        <v>0</v>
      </c>
      <c r="BG226" s="76" t="b">
        <v>0</v>
      </c>
      <c r="BH226" s="83" t="str">
        <f>HYPERLINK("https://pbs.twimg.com/profile_banners/761450337421103104/1624470600")</f>
        <v>https://pbs.twimg.com/profile_banners/761450337421103104/1624470600</v>
      </c>
      <c r="BI226" s="76"/>
      <c r="BJ226" s="76" t="s">
        <v>7245</v>
      </c>
      <c r="BK226" s="76" t="b">
        <v>0</v>
      </c>
      <c r="BL226" s="76"/>
      <c r="BM226" s="76" t="s">
        <v>66</v>
      </c>
      <c r="BN226" s="76" t="s">
        <v>7247</v>
      </c>
      <c r="BO226" s="83" t="str">
        <f>HYPERLINK("https://twitter.com/atlanticbank_")</f>
        <v>https://twitter.com/atlanticbank_</v>
      </c>
      <c r="BP226" s="2"/>
    </row>
    <row r="227" spans="1:68" x14ac:dyDescent="0.25">
      <c r="A227" s="62" t="s">
        <v>436</v>
      </c>
      <c r="B227" s="63"/>
      <c r="C227" s="63"/>
      <c r="D227" s="64"/>
      <c r="E227" s="66"/>
      <c r="F227" s="102" t="str">
        <f>HYPERLINK("https://pbs.twimg.com/profile_images/1609926380820611073/RYeEIV8V_normal.jpg")</f>
        <v>https://pbs.twimg.com/profile_images/1609926380820611073/RYeEIV8V_normal.jpg</v>
      </c>
      <c r="G227" s="63"/>
      <c r="H227" s="67"/>
      <c r="I227" s="68"/>
      <c r="J227" s="68"/>
      <c r="K227" s="67" t="s">
        <v>7471</v>
      </c>
      <c r="L227" s="71"/>
      <c r="M227" s="72"/>
      <c r="N227" s="72"/>
      <c r="O227" s="73"/>
      <c r="P227" s="74"/>
      <c r="Q227" s="74"/>
      <c r="R227" s="86"/>
      <c r="S227" s="86"/>
      <c r="T227" s="86"/>
      <c r="U227" s="86"/>
      <c r="V227" s="48"/>
      <c r="W227" s="48"/>
      <c r="X227" s="48"/>
      <c r="Y227" s="48"/>
      <c r="Z227" s="47"/>
      <c r="AA227" s="69">
        <v>227</v>
      </c>
      <c r="AB227" s="69"/>
      <c r="AC227" s="70"/>
      <c r="AD227" s="76" t="s">
        <v>6353</v>
      </c>
      <c r="AE227" s="81" t="s">
        <v>6008</v>
      </c>
      <c r="AF227" s="76">
        <v>0</v>
      </c>
      <c r="AG227" s="76">
        <v>7</v>
      </c>
      <c r="AH227" s="76">
        <v>12</v>
      </c>
      <c r="AI227" s="76">
        <v>0</v>
      </c>
      <c r="AJ227" s="76">
        <v>9</v>
      </c>
      <c r="AK227" s="76">
        <v>1</v>
      </c>
      <c r="AL227" s="76" t="b">
        <v>0</v>
      </c>
      <c r="AM227" s="78">
        <v>43860.625428240739</v>
      </c>
      <c r="AN227" s="76"/>
      <c r="AO227" s="76" t="s">
        <v>6874</v>
      </c>
      <c r="AP227" s="76"/>
      <c r="AQ227" s="76"/>
      <c r="AR227" s="76"/>
      <c r="AS227" s="76"/>
      <c r="AT227" s="76"/>
      <c r="AU227" s="76"/>
      <c r="AV227" s="76">
        <v>1.60995513211199E+18</v>
      </c>
      <c r="AW227" s="76"/>
      <c r="AX227" s="76" t="b">
        <v>0</v>
      </c>
      <c r="AY227" s="76"/>
      <c r="AZ227" s="76"/>
      <c r="BA227" s="76" t="b">
        <v>0</v>
      </c>
      <c r="BB227" s="76" t="b">
        <v>1</v>
      </c>
      <c r="BC227" s="76" t="b">
        <v>1</v>
      </c>
      <c r="BD227" s="76" t="b">
        <v>0</v>
      </c>
      <c r="BE227" s="76" t="b">
        <v>0</v>
      </c>
      <c r="BF227" s="76" t="b">
        <v>0</v>
      </c>
      <c r="BG227" s="76" t="b">
        <v>0</v>
      </c>
      <c r="BH227" s="76"/>
      <c r="BI227" s="76"/>
      <c r="BJ227" s="76" t="s">
        <v>7245</v>
      </c>
      <c r="BK227" s="76" t="b">
        <v>0</v>
      </c>
      <c r="BL227" s="76"/>
      <c r="BM227" s="76" t="s">
        <v>66</v>
      </c>
      <c r="BN227" s="76" t="s">
        <v>7247</v>
      </c>
      <c r="BO227" s="83" t="str">
        <f>HYPERLINK("https://twitter.com/crisspellegrin")</f>
        <v>https://twitter.com/crisspellegrin</v>
      </c>
      <c r="BP227" s="2"/>
    </row>
    <row r="228" spans="1:68" x14ac:dyDescent="0.25">
      <c r="A228" s="62" t="s">
        <v>437</v>
      </c>
      <c r="B228" s="63"/>
      <c r="C228" s="63"/>
      <c r="D228" s="64"/>
      <c r="E228" s="66"/>
      <c r="F228" s="102" t="str">
        <f>HYPERLINK("https://pbs.twimg.com/profile_images/1570050111039733760/xNaX4HVD_normal.jpg")</f>
        <v>https://pbs.twimg.com/profile_images/1570050111039733760/xNaX4HVD_normal.jpg</v>
      </c>
      <c r="G228" s="63"/>
      <c r="H228" s="67"/>
      <c r="I228" s="68"/>
      <c r="J228" s="68"/>
      <c r="K228" s="67" t="s">
        <v>7472</v>
      </c>
      <c r="L228" s="71"/>
      <c r="M228" s="72"/>
      <c r="N228" s="72"/>
      <c r="O228" s="73"/>
      <c r="P228" s="74"/>
      <c r="Q228" s="74"/>
      <c r="R228" s="86"/>
      <c r="S228" s="86"/>
      <c r="T228" s="86"/>
      <c r="U228" s="86"/>
      <c r="V228" s="48"/>
      <c r="W228" s="48"/>
      <c r="X228" s="48"/>
      <c r="Y228" s="48"/>
      <c r="Z228" s="47"/>
      <c r="AA228" s="69">
        <v>228</v>
      </c>
      <c r="AB228" s="69"/>
      <c r="AC228" s="70"/>
      <c r="AD228" s="76" t="s">
        <v>6354</v>
      </c>
      <c r="AE228" s="81" t="s">
        <v>6009</v>
      </c>
      <c r="AF228" s="76">
        <v>6</v>
      </c>
      <c r="AG228" s="76">
        <v>15</v>
      </c>
      <c r="AH228" s="76">
        <v>17</v>
      </c>
      <c r="AI228" s="76">
        <v>0</v>
      </c>
      <c r="AJ228" s="76">
        <v>8</v>
      </c>
      <c r="AK228" s="76">
        <v>12</v>
      </c>
      <c r="AL228" s="76" t="b">
        <v>0</v>
      </c>
      <c r="AM228" s="78">
        <v>44602.851203703707</v>
      </c>
      <c r="AN228" s="76" t="s">
        <v>6634</v>
      </c>
      <c r="AO228" s="76" t="s">
        <v>6875</v>
      </c>
      <c r="AP228" s="83" t="str">
        <f>HYPERLINK("https://t.co/LLoaRaRcUR")</f>
        <v>https://t.co/LLoaRaRcUR</v>
      </c>
      <c r="AQ228" s="83" t="str">
        <f>HYPERLINK("https://neoin.com.br/")</f>
        <v>https://neoin.com.br/</v>
      </c>
      <c r="AR228" s="76" t="s">
        <v>7123</v>
      </c>
      <c r="AS228" s="76"/>
      <c r="AT228" s="76"/>
      <c r="AU228" s="76"/>
      <c r="AV228" s="76"/>
      <c r="AW228" s="83" t="str">
        <f>HYPERLINK("https://t.co/LLoaRaRcUR")</f>
        <v>https://t.co/LLoaRaRcUR</v>
      </c>
      <c r="AX228" s="76" t="b">
        <v>0</v>
      </c>
      <c r="AY228" s="76"/>
      <c r="AZ228" s="76"/>
      <c r="BA228" s="76" t="b">
        <v>0</v>
      </c>
      <c r="BB228" s="76" t="b">
        <v>1</v>
      </c>
      <c r="BC228" s="76" t="b">
        <v>1</v>
      </c>
      <c r="BD228" s="76" t="b">
        <v>0</v>
      </c>
      <c r="BE228" s="76" t="b">
        <v>0</v>
      </c>
      <c r="BF228" s="76" t="b">
        <v>0</v>
      </c>
      <c r="BG228" s="76" t="b">
        <v>0</v>
      </c>
      <c r="BH228" s="83" t="str">
        <f>HYPERLINK("https://pbs.twimg.com/profile_banners/1491870899401891841/1663164092")</f>
        <v>https://pbs.twimg.com/profile_banners/1491870899401891841/1663164092</v>
      </c>
      <c r="BI228" s="76"/>
      <c r="BJ228" s="76" t="s">
        <v>7245</v>
      </c>
      <c r="BK228" s="76" t="b">
        <v>0</v>
      </c>
      <c r="BL228" s="76"/>
      <c r="BM228" s="76" t="s">
        <v>66</v>
      </c>
      <c r="BN228" s="76" t="s">
        <v>7247</v>
      </c>
      <c r="BO228" s="83" t="str">
        <f>HYPERLINK("https://twitter.com/neoinconstrucao")</f>
        <v>https://twitter.com/neoinconstrucao</v>
      </c>
      <c r="BP228" s="2"/>
    </row>
    <row r="229" spans="1:68" x14ac:dyDescent="0.25">
      <c r="A229" s="62" t="s">
        <v>438</v>
      </c>
      <c r="B229" s="63"/>
      <c r="C229" s="63"/>
      <c r="D229" s="64"/>
      <c r="E229" s="66"/>
      <c r="F229" s="102" t="str">
        <f>HYPERLINK("https://pbs.twimg.com/profile_images/1649760962252091393/BvUnHDlq_normal.jpg")</f>
        <v>https://pbs.twimg.com/profile_images/1649760962252091393/BvUnHDlq_normal.jpg</v>
      </c>
      <c r="G229" s="63"/>
      <c r="H229" s="67"/>
      <c r="I229" s="68"/>
      <c r="J229" s="68"/>
      <c r="K229" s="67" t="s">
        <v>7473</v>
      </c>
      <c r="L229" s="71"/>
      <c r="M229" s="72"/>
      <c r="N229" s="72"/>
      <c r="O229" s="73"/>
      <c r="P229" s="74"/>
      <c r="Q229" s="74"/>
      <c r="R229" s="86"/>
      <c r="S229" s="86"/>
      <c r="T229" s="86"/>
      <c r="U229" s="86"/>
      <c r="V229" s="48"/>
      <c r="W229" s="48"/>
      <c r="X229" s="48"/>
      <c r="Y229" s="48"/>
      <c r="Z229" s="47"/>
      <c r="AA229" s="69">
        <v>229</v>
      </c>
      <c r="AB229" s="69"/>
      <c r="AC229" s="70"/>
      <c r="AD229" s="76" t="s">
        <v>6355</v>
      </c>
      <c r="AE229" s="81" t="s">
        <v>6010</v>
      </c>
      <c r="AF229" s="76">
        <v>2</v>
      </c>
      <c r="AG229" s="76">
        <v>4</v>
      </c>
      <c r="AH229" s="76">
        <v>32</v>
      </c>
      <c r="AI229" s="76">
        <v>0</v>
      </c>
      <c r="AJ229" s="76">
        <v>5</v>
      </c>
      <c r="AK229" s="76">
        <v>26</v>
      </c>
      <c r="AL229" s="76" t="b">
        <v>0</v>
      </c>
      <c r="AM229" s="78">
        <v>45037.978391203702</v>
      </c>
      <c r="AN229" s="76"/>
      <c r="AO229" s="76" t="s">
        <v>6876</v>
      </c>
      <c r="AP229" s="83" t="str">
        <f>HYPERLINK("https://t.co/W0baRs5mM8")</f>
        <v>https://t.co/W0baRs5mM8</v>
      </c>
      <c r="AQ229" s="83" t="str">
        <f>HYPERLINK("https://evovee.io/guia")</f>
        <v>https://evovee.io/guia</v>
      </c>
      <c r="AR229" s="76" t="s">
        <v>7124</v>
      </c>
      <c r="AS229" s="76"/>
      <c r="AT229" s="76"/>
      <c r="AU229" s="76"/>
      <c r="AV229" s="76"/>
      <c r="AW229" s="83" t="str">
        <f>HYPERLINK("https://t.co/W0baRs5mM8")</f>
        <v>https://t.co/W0baRs5mM8</v>
      </c>
      <c r="AX229" s="76" t="b">
        <v>0</v>
      </c>
      <c r="AY229" s="76"/>
      <c r="AZ229" s="76"/>
      <c r="BA229" s="76" t="b">
        <v>0</v>
      </c>
      <c r="BB229" s="76" t="b">
        <v>1</v>
      </c>
      <c r="BC229" s="76" t="b">
        <v>1</v>
      </c>
      <c r="BD229" s="76" t="b">
        <v>0</v>
      </c>
      <c r="BE229" s="76" t="b">
        <v>0</v>
      </c>
      <c r="BF229" s="76" t="b">
        <v>0</v>
      </c>
      <c r="BG229" s="76" t="b">
        <v>0</v>
      </c>
      <c r="BH229" s="83" t="str">
        <f>HYPERLINK("https://pbs.twimg.com/profile_banners/1649555797368619010/1682733135")</f>
        <v>https://pbs.twimg.com/profile_banners/1649555797368619010/1682733135</v>
      </c>
      <c r="BI229" s="76"/>
      <c r="BJ229" s="76" t="s">
        <v>7245</v>
      </c>
      <c r="BK229" s="76" t="b">
        <v>0</v>
      </c>
      <c r="BL229" s="76"/>
      <c r="BM229" s="76" t="s">
        <v>66</v>
      </c>
      <c r="BN229" s="76" t="s">
        <v>7247</v>
      </c>
      <c r="BO229" s="83" t="str">
        <f>HYPERLINK("https://twitter.com/evovee_")</f>
        <v>https://twitter.com/evovee_</v>
      </c>
      <c r="BP229" s="2"/>
    </row>
    <row r="230" spans="1:68" x14ac:dyDescent="0.25">
      <c r="A230" s="62" t="s">
        <v>439</v>
      </c>
      <c r="B230" s="63"/>
      <c r="C230" s="63"/>
      <c r="D230" s="64"/>
      <c r="E230" s="66"/>
      <c r="F230" s="102" t="str">
        <f>HYPERLINK("https://pbs.twimg.com/profile_images/1643304178901475334/x-hhQRWa_normal.jpg")</f>
        <v>https://pbs.twimg.com/profile_images/1643304178901475334/x-hhQRWa_normal.jpg</v>
      </c>
      <c r="G230" s="63"/>
      <c r="H230" s="67"/>
      <c r="I230" s="68"/>
      <c r="J230" s="68"/>
      <c r="K230" s="67" t="s">
        <v>7474</v>
      </c>
      <c r="L230" s="71"/>
      <c r="M230" s="72"/>
      <c r="N230" s="72"/>
      <c r="O230" s="73"/>
      <c r="P230" s="74"/>
      <c r="Q230" s="74"/>
      <c r="R230" s="86"/>
      <c r="S230" s="86"/>
      <c r="T230" s="86"/>
      <c r="U230" s="86"/>
      <c r="V230" s="48"/>
      <c r="W230" s="48"/>
      <c r="X230" s="48"/>
      <c r="Y230" s="48"/>
      <c r="Z230" s="47"/>
      <c r="AA230" s="69">
        <v>230</v>
      </c>
      <c r="AB230" s="69"/>
      <c r="AC230" s="70"/>
      <c r="AD230" s="76" t="s">
        <v>6356</v>
      </c>
      <c r="AE230" s="81" t="s">
        <v>6011</v>
      </c>
      <c r="AF230" s="76">
        <v>5</v>
      </c>
      <c r="AG230" s="76">
        <v>3</v>
      </c>
      <c r="AH230" s="76">
        <v>106</v>
      </c>
      <c r="AI230" s="76">
        <v>0</v>
      </c>
      <c r="AJ230" s="76">
        <v>0</v>
      </c>
      <c r="AK230" s="76">
        <v>105</v>
      </c>
      <c r="AL230" s="76" t="b">
        <v>0</v>
      </c>
      <c r="AM230" s="78">
        <v>44821.025671296295</v>
      </c>
      <c r="AN230" s="76"/>
      <c r="AO230" s="76" t="s">
        <v>6877</v>
      </c>
      <c r="AP230" s="83" t="str">
        <f>HYPERLINK("https://t.co/ZcVBFdPEui")</f>
        <v>https://t.co/ZcVBFdPEui</v>
      </c>
      <c r="AQ230" s="83" t="str">
        <f>HYPERLINK("https://linkr.bio/iniciar_")</f>
        <v>https://linkr.bio/iniciar_</v>
      </c>
      <c r="AR230" s="76" t="s">
        <v>7125</v>
      </c>
      <c r="AS230" s="76"/>
      <c r="AT230" s="76"/>
      <c r="AU230" s="76"/>
      <c r="AV230" s="76"/>
      <c r="AW230" s="83" t="str">
        <f>HYPERLINK("https://t.co/ZcVBFdPEui")</f>
        <v>https://t.co/ZcVBFdPEui</v>
      </c>
      <c r="AX230" s="76" t="b">
        <v>0</v>
      </c>
      <c r="AY230" s="76"/>
      <c r="AZ230" s="76"/>
      <c r="BA230" s="76" t="b">
        <v>0</v>
      </c>
      <c r="BB230" s="76" t="b">
        <v>1</v>
      </c>
      <c r="BC230" s="76" t="b">
        <v>1</v>
      </c>
      <c r="BD230" s="76" t="b">
        <v>0</v>
      </c>
      <c r="BE230" s="76" t="b">
        <v>0</v>
      </c>
      <c r="BF230" s="76" t="b">
        <v>0</v>
      </c>
      <c r="BG230" s="76" t="b">
        <v>0</v>
      </c>
      <c r="BH230" s="83" t="str">
        <f>HYPERLINK("https://pbs.twimg.com/profile_banners/1570934663446683649/1680629834")</f>
        <v>https://pbs.twimg.com/profile_banners/1570934663446683649/1680629834</v>
      </c>
      <c r="BI230" s="76"/>
      <c r="BJ230" s="76" t="s">
        <v>7245</v>
      </c>
      <c r="BK230" s="76" t="b">
        <v>0</v>
      </c>
      <c r="BL230" s="76"/>
      <c r="BM230" s="76" t="s">
        <v>66</v>
      </c>
      <c r="BN230" s="76" t="s">
        <v>7247</v>
      </c>
      <c r="BO230" s="83" t="str">
        <f>HYPERLINK("https://twitter.com/rafaelamorimofc")</f>
        <v>https://twitter.com/rafaelamorimofc</v>
      </c>
      <c r="BP230" s="2"/>
    </row>
    <row r="231" spans="1:68" x14ac:dyDescent="0.25">
      <c r="A231" s="62" t="s">
        <v>440</v>
      </c>
      <c r="B231" s="63"/>
      <c r="C231" s="63"/>
      <c r="D231" s="64"/>
      <c r="E231" s="66"/>
      <c r="F231" s="102" t="str">
        <f>HYPERLINK("https://pbs.twimg.com/profile_images/1682963782438461441/4LsqREta_normal.jpg")</f>
        <v>https://pbs.twimg.com/profile_images/1682963782438461441/4LsqREta_normal.jpg</v>
      </c>
      <c r="G231" s="63"/>
      <c r="H231" s="67"/>
      <c r="I231" s="68"/>
      <c r="J231" s="68"/>
      <c r="K231" s="67" t="s">
        <v>7475</v>
      </c>
      <c r="L231" s="71"/>
      <c r="M231" s="72"/>
      <c r="N231" s="72"/>
      <c r="O231" s="73"/>
      <c r="P231" s="74"/>
      <c r="Q231" s="74"/>
      <c r="R231" s="86"/>
      <c r="S231" s="86"/>
      <c r="T231" s="86"/>
      <c r="U231" s="86"/>
      <c r="V231" s="48"/>
      <c r="W231" s="48"/>
      <c r="X231" s="48"/>
      <c r="Y231" s="48"/>
      <c r="Z231" s="47"/>
      <c r="AA231" s="69">
        <v>231</v>
      </c>
      <c r="AB231" s="69"/>
      <c r="AC231" s="70"/>
      <c r="AD231" s="76" t="s">
        <v>6357</v>
      </c>
      <c r="AE231" s="81" t="s">
        <v>6012</v>
      </c>
      <c r="AF231" s="76">
        <v>0</v>
      </c>
      <c r="AG231" s="76">
        <v>6</v>
      </c>
      <c r="AH231" s="76">
        <v>16</v>
      </c>
      <c r="AI231" s="76">
        <v>0</v>
      </c>
      <c r="AJ231" s="76">
        <v>0</v>
      </c>
      <c r="AK231" s="76">
        <v>6</v>
      </c>
      <c r="AL231" s="76" t="b">
        <v>0</v>
      </c>
      <c r="AM231" s="78">
        <v>45126.602638888886</v>
      </c>
      <c r="AN231" s="76" t="s">
        <v>3771</v>
      </c>
      <c r="AO231" s="76" t="s">
        <v>6878</v>
      </c>
      <c r="AP231" s="76"/>
      <c r="AQ231" s="76"/>
      <c r="AR231" s="76"/>
      <c r="AS231" s="76"/>
      <c r="AT231" s="76"/>
      <c r="AU231" s="76"/>
      <c r="AV231" s="76"/>
      <c r="AW231" s="76"/>
      <c r="AX231" s="76" t="b">
        <v>0</v>
      </c>
      <c r="AY231" s="76"/>
      <c r="AZ231" s="76"/>
      <c r="BA231" s="76" t="b">
        <v>0</v>
      </c>
      <c r="BB231" s="76" t="b">
        <v>1</v>
      </c>
      <c r="BC231" s="76" t="b">
        <v>1</v>
      </c>
      <c r="BD231" s="76" t="b">
        <v>0</v>
      </c>
      <c r="BE231" s="76" t="b">
        <v>0</v>
      </c>
      <c r="BF231" s="76" t="b">
        <v>0</v>
      </c>
      <c r="BG231" s="76" t="b">
        <v>0</v>
      </c>
      <c r="BH231" s="83" t="str">
        <f>HYPERLINK("https://pbs.twimg.com/profile_banners/1681672133779267584/1690084836")</f>
        <v>https://pbs.twimg.com/profile_banners/1681672133779267584/1690084836</v>
      </c>
      <c r="BI231" s="76"/>
      <c r="BJ231" s="76" t="s">
        <v>7245</v>
      </c>
      <c r="BK231" s="76" t="b">
        <v>0</v>
      </c>
      <c r="BL231" s="76"/>
      <c r="BM231" s="76" t="s">
        <v>66</v>
      </c>
      <c r="BN231" s="76" t="s">
        <v>7247</v>
      </c>
      <c r="BO231" s="83" t="str">
        <f>HYPERLINK("https://twitter.com/hailsonmkt37825")</f>
        <v>https://twitter.com/hailsonmkt37825</v>
      </c>
      <c r="BP231" s="2"/>
    </row>
    <row r="232" spans="1:68" x14ac:dyDescent="0.25">
      <c r="A232" s="62" t="s">
        <v>441</v>
      </c>
      <c r="B232" s="63"/>
      <c r="C232" s="63"/>
      <c r="D232" s="64"/>
      <c r="E232" s="66"/>
      <c r="F232" s="102" t="str">
        <f>HYPERLINK("https://pbs.twimg.com/profile_images/1591127922856820760/MV5_ReqD_normal.jpg")</f>
        <v>https://pbs.twimg.com/profile_images/1591127922856820760/MV5_ReqD_normal.jpg</v>
      </c>
      <c r="G232" s="63"/>
      <c r="H232" s="67"/>
      <c r="I232" s="68"/>
      <c r="J232" s="68"/>
      <c r="K232" s="67" t="s">
        <v>7476</v>
      </c>
      <c r="L232" s="71"/>
      <c r="M232" s="72"/>
      <c r="N232" s="72"/>
      <c r="O232" s="73"/>
      <c r="P232" s="74"/>
      <c r="Q232" s="74"/>
      <c r="R232" s="86"/>
      <c r="S232" s="86"/>
      <c r="T232" s="86"/>
      <c r="U232" s="86"/>
      <c r="V232" s="48"/>
      <c r="W232" s="48"/>
      <c r="X232" s="48"/>
      <c r="Y232" s="48"/>
      <c r="Z232" s="47"/>
      <c r="AA232" s="69">
        <v>232</v>
      </c>
      <c r="AB232" s="69"/>
      <c r="AC232" s="70"/>
      <c r="AD232" s="76" t="s">
        <v>6358</v>
      </c>
      <c r="AE232" s="81" t="s">
        <v>5598</v>
      </c>
      <c r="AF232" s="76">
        <v>2</v>
      </c>
      <c r="AG232" s="76">
        <v>3</v>
      </c>
      <c r="AH232" s="76">
        <v>20</v>
      </c>
      <c r="AI232" s="76">
        <v>0</v>
      </c>
      <c r="AJ232" s="76">
        <v>0</v>
      </c>
      <c r="AK232" s="76">
        <v>1</v>
      </c>
      <c r="AL232" s="76" t="b">
        <v>0</v>
      </c>
      <c r="AM232" s="78">
        <v>44876.746400462966</v>
      </c>
      <c r="AN232" s="76"/>
      <c r="AO232" s="76"/>
      <c r="AP232" s="76"/>
      <c r="AQ232" s="76"/>
      <c r="AR232" s="76"/>
      <c r="AS232" s="76"/>
      <c r="AT232" s="76"/>
      <c r="AU232" s="76"/>
      <c r="AV232" s="76"/>
      <c r="AW232" s="76"/>
      <c r="AX232" s="76" t="b">
        <v>0</v>
      </c>
      <c r="AY232" s="76"/>
      <c r="AZ232" s="76"/>
      <c r="BA232" s="76" t="b">
        <v>0</v>
      </c>
      <c r="BB232" s="76" t="b">
        <v>1</v>
      </c>
      <c r="BC232" s="76" t="b">
        <v>1</v>
      </c>
      <c r="BD232" s="76" t="b">
        <v>0</v>
      </c>
      <c r="BE232" s="76" t="b">
        <v>0</v>
      </c>
      <c r="BF232" s="76" t="b">
        <v>0</v>
      </c>
      <c r="BG232" s="76" t="b">
        <v>0</v>
      </c>
      <c r="BH232" s="83" t="str">
        <f>HYPERLINK("https://pbs.twimg.com/profile_banners/1591127284001406992/1675267446")</f>
        <v>https://pbs.twimg.com/profile_banners/1591127284001406992/1675267446</v>
      </c>
      <c r="BI232" s="76"/>
      <c r="BJ232" s="76" t="s">
        <v>7245</v>
      </c>
      <c r="BK232" s="76" t="b">
        <v>0</v>
      </c>
      <c r="BL232" s="76"/>
      <c r="BM232" s="76" t="s">
        <v>66</v>
      </c>
      <c r="BN232" s="76" t="s">
        <v>7247</v>
      </c>
      <c r="BO232" s="83" t="str">
        <f>HYPERLINK("https://twitter.com/sejabimanager")</f>
        <v>https://twitter.com/sejabimanager</v>
      </c>
      <c r="BP232" s="2"/>
    </row>
    <row r="233" spans="1:68" x14ac:dyDescent="0.25">
      <c r="A233" s="62" t="s">
        <v>442</v>
      </c>
      <c r="B233" s="63"/>
      <c r="C233" s="63"/>
      <c r="D233" s="64"/>
      <c r="E233" s="66"/>
      <c r="F233" s="102" t="str">
        <f>HYPERLINK("https://pbs.twimg.com/profile_images/1678867500648333312/RDr5C9J9_normal.jpg")</f>
        <v>https://pbs.twimg.com/profile_images/1678867500648333312/RDr5C9J9_normal.jpg</v>
      </c>
      <c r="G233" s="63"/>
      <c r="H233" s="67"/>
      <c r="I233" s="68"/>
      <c r="J233" s="68"/>
      <c r="K233" s="67" t="s">
        <v>7477</v>
      </c>
      <c r="L233" s="71"/>
      <c r="M233" s="72"/>
      <c r="N233" s="72"/>
      <c r="O233" s="73"/>
      <c r="P233" s="74"/>
      <c r="Q233" s="74"/>
      <c r="R233" s="86"/>
      <c r="S233" s="86"/>
      <c r="T233" s="86"/>
      <c r="U233" s="86"/>
      <c r="V233" s="48"/>
      <c r="W233" s="48"/>
      <c r="X233" s="48"/>
      <c r="Y233" s="48"/>
      <c r="Z233" s="47"/>
      <c r="AA233" s="69">
        <v>233</v>
      </c>
      <c r="AB233" s="69"/>
      <c r="AC233" s="70"/>
      <c r="AD233" s="76" t="s">
        <v>6359</v>
      </c>
      <c r="AE233" s="81" t="s">
        <v>6013</v>
      </c>
      <c r="AF233" s="76">
        <v>7</v>
      </c>
      <c r="AG233" s="76">
        <v>10</v>
      </c>
      <c r="AH233" s="76">
        <v>39</v>
      </c>
      <c r="AI233" s="76">
        <v>0</v>
      </c>
      <c r="AJ233" s="76">
        <v>51</v>
      </c>
      <c r="AK233" s="76">
        <v>37</v>
      </c>
      <c r="AL233" s="76" t="b">
        <v>0</v>
      </c>
      <c r="AM233" s="78">
        <v>45021.569328703707</v>
      </c>
      <c r="AN233" s="76" t="s">
        <v>6635</v>
      </c>
      <c r="AO233" s="76" t="s">
        <v>6879</v>
      </c>
      <c r="AP233" s="83" t="str">
        <f>HYPERLINK("https://t.co/NrPRzxqvsB")</f>
        <v>https://t.co/NrPRzxqvsB</v>
      </c>
      <c r="AQ233" s="83" t="str">
        <f>HYPERLINK("https://linktr.ee/detraderpratrader")</f>
        <v>https://linktr.ee/detraderpratrader</v>
      </c>
      <c r="AR233" s="76" t="s">
        <v>7126</v>
      </c>
      <c r="AS233" s="76"/>
      <c r="AT233" s="76"/>
      <c r="AU233" s="76"/>
      <c r="AV233" s="76"/>
      <c r="AW233" s="83" t="str">
        <f>HYPERLINK("https://t.co/NrPRzxqvsB")</f>
        <v>https://t.co/NrPRzxqvsB</v>
      </c>
      <c r="AX233" s="76" t="b">
        <v>0</v>
      </c>
      <c r="AY233" s="76"/>
      <c r="AZ233" s="76"/>
      <c r="BA233" s="76" t="b">
        <v>0</v>
      </c>
      <c r="BB233" s="76" t="b">
        <v>1</v>
      </c>
      <c r="BC233" s="76" t="b">
        <v>1</v>
      </c>
      <c r="BD233" s="76" t="b">
        <v>0</v>
      </c>
      <c r="BE233" s="76" t="b">
        <v>0</v>
      </c>
      <c r="BF233" s="76" t="b">
        <v>0</v>
      </c>
      <c r="BG233" s="76" t="b">
        <v>0</v>
      </c>
      <c r="BH233" s="83" t="str">
        <f>HYPERLINK("https://pbs.twimg.com/profile_banners/1643609098527596551/1685194548")</f>
        <v>https://pbs.twimg.com/profile_banners/1643609098527596551/1685194548</v>
      </c>
      <c r="BI233" s="76"/>
      <c r="BJ233" s="76" t="s">
        <v>7245</v>
      </c>
      <c r="BK233" s="76" t="b">
        <v>0</v>
      </c>
      <c r="BL233" s="76"/>
      <c r="BM233" s="76" t="s">
        <v>66</v>
      </c>
      <c r="BN233" s="76" t="s">
        <v>7247</v>
      </c>
      <c r="BO233" s="83" t="str">
        <f>HYPERLINK("https://twitter.com/traiderptraider")</f>
        <v>https://twitter.com/traiderptraider</v>
      </c>
      <c r="BP233" s="2"/>
    </row>
    <row r="234" spans="1:68" x14ac:dyDescent="0.25">
      <c r="A234" s="62" t="s">
        <v>443</v>
      </c>
      <c r="B234" s="63"/>
      <c r="C234" s="63"/>
      <c r="D234" s="64"/>
      <c r="E234" s="66"/>
      <c r="F234" s="102" t="str">
        <f>HYPERLINK("https://pbs.twimg.com/profile_images/1693679843404062720/q3ecO34__normal.png")</f>
        <v>https://pbs.twimg.com/profile_images/1693679843404062720/q3ecO34__normal.png</v>
      </c>
      <c r="G234" s="63"/>
      <c r="H234" s="67"/>
      <c r="I234" s="68"/>
      <c r="J234" s="68"/>
      <c r="K234" s="67" t="s">
        <v>7478</v>
      </c>
      <c r="L234" s="71"/>
      <c r="M234" s="72"/>
      <c r="N234" s="72"/>
      <c r="O234" s="73"/>
      <c r="P234" s="74"/>
      <c r="Q234" s="74"/>
      <c r="R234" s="86"/>
      <c r="S234" s="86"/>
      <c r="T234" s="86"/>
      <c r="U234" s="86"/>
      <c r="V234" s="48"/>
      <c r="W234" s="48"/>
      <c r="X234" s="48"/>
      <c r="Y234" s="48"/>
      <c r="Z234" s="47"/>
      <c r="AA234" s="69">
        <v>234</v>
      </c>
      <c r="AB234" s="69"/>
      <c r="AC234" s="70"/>
      <c r="AD234" s="76" t="s">
        <v>6360</v>
      </c>
      <c r="AE234" s="81" t="s">
        <v>5599</v>
      </c>
      <c r="AF234" s="76">
        <v>6</v>
      </c>
      <c r="AG234" s="76">
        <v>42</v>
      </c>
      <c r="AH234" s="76">
        <v>609</v>
      </c>
      <c r="AI234" s="76">
        <v>0</v>
      </c>
      <c r="AJ234" s="76">
        <v>24</v>
      </c>
      <c r="AK234" s="76">
        <v>170</v>
      </c>
      <c r="AL234" s="76" t="b">
        <v>0</v>
      </c>
      <c r="AM234" s="78">
        <v>44874.587951388887</v>
      </c>
      <c r="AN234" s="76" t="s">
        <v>6636</v>
      </c>
      <c r="AO234" s="76" t="s">
        <v>6880</v>
      </c>
      <c r="AP234" s="83" t="str">
        <f>HYPERLINK("https://t.co/y9keg7Ilh5")</f>
        <v>https://t.co/y9keg7Ilh5</v>
      </c>
      <c r="AQ234" s="83" t="str">
        <f>HYPERLINK("https://youtube.com/@ataorienta")</f>
        <v>https://youtube.com/@ataorienta</v>
      </c>
      <c r="AR234" s="76" t="s">
        <v>7127</v>
      </c>
      <c r="AS234" s="76"/>
      <c r="AT234" s="76"/>
      <c r="AU234" s="76"/>
      <c r="AV234" s="76"/>
      <c r="AW234" s="83" t="str">
        <f>HYPERLINK("https://t.co/y9keg7Ilh5")</f>
        <v>https://t.co/y9keg7Ilh5</v>
      </c>
      <c r="AX234" s="76" t="b">
        <v>0</v>
      </c>
      <c r="AY234" s="76"/>
      <c r="AZ234" s="76"/>
      <c r="BA234" s="76" t="b">
        <v>0</v>
      </c>
      <c r="BB234" s="76" t="b">
        <v>1</v>
      </c>
      <c r="BC234" s="76" t="b">
        <v>1</v>
      </c>
      <c r="BD234" s="76" t="b">
        <v>0</v>
      </c>
      <c r="BE234" s="76" t="b">
        <v>0</v>
      </c>
      <c r="BF234" s="76" t="b">
        <v>0</v>
      </c>
      <c r="BG234" s="76" t="b">
        <v>0</v>
      </c>
      <c r="BH234" s="83" t="str">
        <f>HYPERLINK("https://pbs.twimg.com/profile_banners/1590344906140254209/1668103726")</f>
        <v>https://pbs.twimg.com/profile_banners/1590344906140254209/1668103726</v>
      </c>
      <c r="BI234" s="76"/>
      <c r="BJ234" s="76" t="s">
        <v>7245</v>
      </c>
      <c r="BK234" s="76" t="b">
        <v>0</v>
      </c>
      <c r="BL234" s="76"/>
      <c r="BM234" s="76" t="s">
        <v>66</v>
      </c>
      <c r="BN234" s="76" t="s">
        <v>7247</v>
      </c>
      <c r="BO234" s="83" t="str">
        <f>HYPERLINK("https://twitter.com/ataorienta")</f>
        <v>https://twitter.com/ataorienta</v>
      </c>
      <c r="BP234" s="2"/>
    </row>
    <row r="235" spans="1:68" x14ac:dyDescent="0.25">
      <c r="A235" s="62" t="s">
        <v>444</v>
      </c>
      <c r="B235" s="63"/>
      <c r="C235" s="63"/>
      <c r="D235" s="64"/>
      <c r="E235" s="66"/>
      <c r="F235" s="102" t="str">
        <f>HYPERLINK("https://pbs.twimg.com/profile_images/1472409323/002_normal.jpg")</f>
        <v>https://pbs.twimg.com/profile_images/1472409323/002_normal.jpg</v>
      </c>
      <c r="G235" s="63"/>
      <c r="H235" s="67"/>
      <c r="I235" s="68"/>
      <c r="J235" s="68"/>
      <c r="K235" s="67" t="s">
        <v>7479</v>
      </c>
      <c r="L235" s="71"/>
      <c r="M235" s="72"/>
      <c r="N235" s="72"/>
      <c r="O235" s="73"/>
      <c r="P235" s="74"/>
      <c r="Q235" s="74"/>
      <c r="R235" s="86"/>
      <c r="S235" s="86"/>
      <c r="T235" s="86"/>
      <c r="U235" s="86"/>
      <c r="V235" s="48"/>
      <c r="W235" s="48"/>
      <c r="X235" s="48"/>
      <c r="Y235" s="48"/>
      <c r="Z235" s="47"/>
      <c r="AA235" s="69">
        <v>235</v>
      </c>
      <c r="AB235" s="69"/>
      <c r="AC235" s="70"/>
      <c r="AD235" s="76" t="s">
        <v>6361</v>
      </c>
      <c r="AE235" s="81" t="s">
        <v>6527</v>
      </c>
      <c r="AF235" s="76">
        <v>11</v>
      </c>
      <c r="AG235" s="76">
        <v>66</v>
      </c>
      <c r="AH235" s="76">
        <v>250</v>
      </c>
      <c r="AI235" s="76">
        <v>0</v>
      </c>
      <c r="AJ235" s="76">
        <v>70</v>
      </c>
      <c r="AK235" s="76">
        <v>7</v>
      </c>
      <c r="AL235" s="76" t="b">
        <v>0</v>
      </c>
      <c r="AM235" s="78">
        <v>40750.648865740739</v>
      </c>
      <c r="AN235" s="76"/>
      <c r="AO235" s="76" t="s">
        <v>6881</v>
      </c>
      <c r="AP235" s="76"/>
      <c r="AQ235" s="76"/>
      <c r="AR235" s="76"/>
      <c r="AS235" s="76"/>
      <c r="AT235" s="76"/>
      <c r="AU235" s="76"/>
      <c r="AV235" s="76"/>
      <c r="AW235" s="76"/>
      <c r="AX235" s="76" t="b">
        <v>0</v>
      </c>
      <c r="AY235" s="76"/>
      <c r="AZ235" s="76"/>
      <c r="BA235" s="76" t="b">
        <v>1</v>
      </c>
      <c r="BB235" s="76" t="b">
        <v>0</v>
      </c>
      <c r="BC235" s="76" t="b">
        <v>0</v>
      </c>
      <c r="BD235" s="76" t="b">
        <v>0</v>
      </c>
      <c r="BE235" s="76" t="b">
        <v>0</v>
      </c>
      <c r="BF235" s="76" t="b">
        <v>0</v>
      </c>
      <c r="BG235" s="76" t="b">
        <v>0</v>
      </c>
      <c r="BH235" s="76"/>
      <c r="BI235" s="76"/>
      <c r="BJ235" s="76" t="s">
        <v>7245</v>
      </c>
      <c r="BK235" s="76" t="b">
        <v>0</v>
      </c>
      <c r="BL235" s="76"/>
      <c r="BM235" s="76" t="s">
        <v>66</v>
      </c>
      <c r="BN235" s="76" t="s">
        <v>7247</v>
      </c>
      <c r="BO235" s="83" t="str">
        <f>HYPERLINK("https://twitter.com/rodrigo_itaya")</f>
        <v>https://twitter.com/rodrigo_itaya</v>
      </c>
      <c r="BP235" s="2"/>
    </row>
    <row r="236" spans="1:68" x14ac:dyDescent="0.25">
      <c r="A236" s="62" t="s">
        <v>445</v>
      </c>
      <c r="B236" s="63"/>
      <c r="C236" s="63"/>
      <c r="D236" s="64"/>
      <c r="E236" s="66"/>
      <c r="F236" s="102" t="str">
        <f>HYPERLINK("https://pbs.twimg.com/profile_images/1677348702451630085/DAhPPt7n_normal.png")</f>
        <v>https://pbs.twimg.com/profile_images/1677348702451630085/DAhPPt7n_normal.png</v>
      </c>
      <c r="G236" s="63"/>
      <c r="H236" s="67"/>
      <c r="I236" s="68"/>
      <c r="J236" s="68"/>
      <c r="K236" s="67" t="s">
        <v>7480</v>
      </c>
      <c r="L236" s="71"/>
      <c r="M236" s="72"/>
      <c r="N236" s="72"/>
      <c r="O236" s="73"/>
      <c r="P236" s="74"/>
      <c r="Q236" s="74"/>
      <c r="R236" s="86"/>
      <c r="S236" s="86"/>
      <c r="T236" s="86"/>
      <c r="U236" s="86"/>
      <c r="V236" s="48"/>
      <c r="W236" s="48"/>
      <c r="X236" s="48"/>
      <c r="Y236" s="48"/>
      <c r="Z236" s="47"/>
      <c r="AA236" s="69">
        <v>236</v>
      </c>
      <c r="AB236" s="69"/>
      <c r="AC236" s="70"/>
      <c r="AD236" s="76" t="s">
        <v>6362</v>
      </c>
      <c r="AE236" s="81" t="s">
        <v>5600</v>
      </c>
      <c r="AF236" s="76">
        <v>3</v>
      </c>
      <c r="AG236" s="76">
        <v>104</v>
      </c>
      <c r="AH236" s="76">
        <v>27</v>
      </c>
      <c r="AI236" s="76">
        <v>0</v>
      </c>
      <c r="AJ236" s="76">
        <v>17</v>
      </c>
      <c r="AK236" s="76">
        <v>23</v>
      </c>
      <c r="AL236" s="76" t="b">
        <v>0</v>
      </c>
      <c r="AM236" s="78">
        <v>45114.672083333331</v>
      </c>
      <c r="AN236" s="76" t="s">
        <v>6637</v>
      </c>
      <c r="AO236" s="76" t="s">
        <v>6882</v>
      </c>
      <c r="AP236" s="83" t="str">
        <f>HYPERLINK("https://t.co/OWBM3Nhs6l")</f>
        <v>https://t.co/OWBM3Nhs6l</v>
      </c>
      <c r="AQ236" s="83" t="str">
        <f>HYPERLINK("https://go.hotmart.com/F83317712D")</f>
        <v>https://go.hotmart.com/F83317712D</v>
      </c>
      <c r="AR236" s="76" t="s">
        <v>7128</v>
      </c>
      <c r="AS236" s="76"/>
      <c r="AT236" s="76"/>
      <c r="AU236" s="76"/>
      <c r="AV236" s="76">
        <v>1.67854889836782E+18</v>
      </c>
      <c r="AW236" s="83" t="str">
        <f>HYPERLINK("https://t.co/OWBM3Nhs6l")</f>
        <v>https://t.co/OWBM3Nhs6l</v>
      </c>
      <c r="AX236" s="76" t="b">
        <v>0</v>
      </c>
      <c r="AY236" s="76"/>
      <c r="AZ236" s="76"/>
      <c r="BA236" s="76" t="b">
        <v>0</v>
      </c>
      <c r="BB236" s="76" t="b">
        <v>1</v>
      </c>
      <c r="BC236" s="76" t="b">
        <v>1</v>
      </c>
      <c r="BD236" s="76" t="b">
        <v>0</v>
      </c>
      <c r="BE236" s="76" t="b">
        <v>0</v>
      </c>
      <c r="BF236" s="76" t="b">
        <v>0</v>
      </c>
      <c r="BG236" s="76" t="b">
        <v>0</v>
      </c>
      <c r="BH236" s="83" t="str">
        <f>HYPERLINK("https://pbs.twimg.com/profile_banners/1677348601003929601/1688748056")</f>
        <v>https://pbs.twimg.com/profile_banners/1677348601003929601/1688748056</v>
      </c>
      <c r="BI236" s="76"/>
      <c r="BJ236" s="76" t="s">
        <v>7245</v>
      </c>
      <c r="BK236" s="76" t="b">
        <v>0</v>
      </c>
      <c r="BL236" s="76"/>
      <c r="BM236" s="76" t="s">
        <v>66</v>
      </c>
      <c r="BN236" s="76" t="s">
        <v>7247</v>
      </c>
      <c r="BO236" s="83" t="str">
        <f>HYPERLINK("https://twitter.com/r2premiumnegoci")</f>
        <v>https://twitter.com/r2premiumnegoci</v>
      </c>
      <c r="BP236" s="2"/>
    </row>
    <row r="237" spans="1:68" x14ac:dyDescent="0.25">
      <c r="A237" s="62" t="s">
        <v>446</v>
      </c>
      <c r="B237" s="63"/>
      <c r="C237" s="63"/>
      <c r="D237" s="64"/>
      <c r="E237" s="66"/>
      <c r="F237" s="102" t="str">
        <f>HYPERLINK("https://pbs.twimg.com/profile_images/1280489360337616896/T4LdYtIn_normal.jpg")</f>
        <v>https://pbs.twimg.com/profile_images/1280489360337616896/T4LdYtIn_normal.jpg</v>
      </c>
      <c r="G237" s="63"/>
      <c r="H237" s="67"/>
      <c r="I237" s="68"/>
      <c r="J237" s="68"/>
      <c r="K237" s="67" t="s">
        <v>7481</v>
      </c>
      <c r="L237" s="71"/>
      <c r="M237" s="72"/>
      <c r="N237" s="72"/>
      <c r="O237" s="73"/>
      <c r="P237" s="74"/>
      <c r="Q237" s="74"/>
      <c r="R237" s="86"/>
      <c r="S237" s="86"/>
      <c r="T237" s="86"/>
      <c r="U237" s="86"/>
      <c r="V237" s="48"/>
      <c r="W237" s="48"/>
      <c r="X237" s="48"/>
      <c r="Y237" s="48"/>
      <c r="Z237" s="47"/>
      <c r="AA237" s="69">
        <v>237</v>
      </c>
      <c r="AB237" s="69"/>
      <c r="AC237" s="70"/>
      <c r="AD237" s="76" t="s">
        <v>6363</v>
      </c>
      <c r="AE237" s="81" t="s">
        <v>6528</v>
      </c>
      <c r="AF237" s="76">
        <v>867</v>
      </c>
      <c r="AG237" s="76">
        <v>2572</v>
      </c>
      <c r="AH237" s="76">
        <v>5703</v>
      </c>
      <c r="AI237" s="76">
        <v>14</v>
      </c>
      <c r="AJ237" s="76">
        <v>4891</v>
      </c>
      <c r="AK237" s="76">
        <v>1909</v>
      </c>
      <c r="AL237" s="76" t="b">
        <v>0</v>
      </c>
      <c r="AM237" s="78">
        <v>39896.703090277777</v>
      </c>
      <c r="AN237" s="76" t="s">
        <v>6579</v>
      </c>
      <c r="AO237" s="76" t="s">
        <v>6883</v>
      </c>
      <c r="AP237" s="83" t="str">
        <f>HYPERLINK("https://t.co/1yPqyIMOjo")</f>
        <v>https://t.co/1yPqyIMOjo</v>
      </c>
      <c r="AQ237" s="83" t="str">
        <f>HYPERLINK("http://nunoandrade.biz/marketing")</f>
        <v>http://nunoandrade.biz/marketing</v>
      </c>
      <c r="AR237" s="76" t="s">
        <v>7129</v>
      </c>
      <c r="AS237" s="76"/>
      <c r="AT237" s="76"/>
      <c r="AU237" s="76"/>
      <c r="AV237" s="76"/>
      <c r="AW237" s="83" t="str">
        <f>HYPERLINK("https://t.co/1yPqyIMOjo")</f>
        <v>https://t.co/1yPqyIMOjo</v>
      </c>
      <c r="AX237" s="76" t="b">
        <v>0</v>
      </c>
      <c r="AY237" s="76"/>
      <c r="AZ237" s="76"/>
      <c r="BA237" s="76" t="b">
        <v>0</v>
      </c>
      <c r="BB237" s="76" t="b">
        <v>1</v>
      </c>
      <c r="BC237" s="76" t="b">
        <v>0</v>
      </c>
      <c r="BD237" s="76" t="b">
        <v>0</v>
      </c>
      <c r="BE237" s="76" t="b">
        <v>0</v>
      </c>
      <c r="BF237" s="76" t="b">
        <v>0</v>
      </c>
      <c r="BG237" s="76" t="b">
        <v>0</v>
      </c>
      <c r="BH237" s="83" t="str">
        <f>HYPERLINK("https://pbs.twimg.com/profile_banners/26272774/1673920046")</f>
        <v>https://pbs.twimg.com/profile_banners/26272774/1673920046</v>
      </c>
      <c r="BI237" s="76"/>
      <c r="BJ237" s="76" t="s">
        <v>7245</v>
      </c>
      <c r="BK237" s="76" t="b">
        <v>0</v>
      </c>
      <c r="BL237" s="76"/>
      <c r="BM237" s="76" t="s">
        <v>66</v>
      </c>
      <c r="BN237" s="76" t="s">
        <v>7247</v>
      </c>
      <c r="BO237" s="83" t="str">
        <f>HYPERLINK("https://twitter.com/andradex")</f>
        <v>https://twitter.com/andradex</v>
      </c>
      <c r="BP237" s="2"/>
    </row>
    <row r="238" spans="1:68" x14ac:dyDescent="0.25">
      <c r="A238" s="62" t="s">
        <v>447</v>
      </c>
      <c r="B238" s="63"/>
      <c r="C238" s="63"/>
      <c r="D238" s="64"/>
      <c r="E238" s="66"/>
      <c r="F238" s="102" t="str">
        <f>HYPERLINK("https://pbs.twimg.com/profile_images/1632869224585519107/KvuL29-E_normal.jpg")</f>
        <v>https://pbs.twimg.com/profile_images/1632869224585519107/KvuL29-E_normal.jpg</v>
      </c>
      <c r="G238" s="63"/>
      <c r="H238" s="67"/>
      <c r="I238" s="68"/>
      <c r="J238" s="68"/>
      <c r="K238" s="67" t="s">
        <v>7482</v>
      </c>
      <c r="L238" s="71"/>
      <c r="M238" s="72"/>
      <c r="N238" s="72"/>
      <c r="O238" s="73"/>
      <c r="P238" s="74"/>
      <c r="Q238" s="74"/>
      <c r="R238" s="86"/>
      <c r="S238" s="86"/>
      <c r="T238" s="86"/>
      <c r="U238" s="86"/>
      <c r="V238" s="48"/>
      <c r="W238" s="48"/>
      <c r="X238" s="48"/>
      <c r="Y238" s="48"/>
      <c r="Z238" s="47"/>
      <c r="AA238" s="69">
        <v>238</v>
      </c>
      <c r="AB238" s="69"/>
      <c r="AC238" s="70"/>
      <c r="AD238" s="76" t="s">
        <v>6364</v>
      </c>
      <c r="AE238" s="81" t="s">
        <v>6014</v>
      </c>
      <c r="AF238" s="76">
        <v>0</v>
      </c>
      <c r="AG238" s="76">
        <v>1</v>
      </c>
      <c r="AH238" s="76">
        <v>20</v>
      </c>
      <c r="AI238" s="76">
        <v>0</v>
      </c>
      <c r="AJ238" s="76">
        <v>0</v>
      </c>
      <c r="AK238" s="76">
        <v>20</v>
      </c>
      <c r="AL238" s="76" t="b">
        <v>0</v>
      </c>
      <c r="AM238" s="78">
        <v>44982.635381944441</v>
      </c>
      <c r="AN238" s="76"/>
      <c r="AO238" s="76"/>
      <c r="AP238" s="76"/>
      <c r="AQ238" s="76"/>
      <c r="AR238" s="76"/>
      <c r="AS238" s="76"/>
      <c r="AT238" s="76"/>
      <c r="AU238" s="76"/>
      <c r="AV238" s="76"/>
      <c r="AW238" s="76"/>
      <c r="AX238" s="76" t="b">
        <v>0</v>
      </c>
      <c r="AY238" s="76"/>
      <c r="AZ238" s="76"/>
      <c r="BA238" s="76" t="b">
        <v>0</v>
      </c>
      <c r="BB238" s="76" t="b">
        <v>1</v>
      </c>
      <c r="BC238" s="76" t="b">
        <v>1</v>
      </c>
      <c r="BD238" s="76" t="b">
        <v>0</v>
      </c>
      <c r="BE238" s="76" t="b">
        <v>0</v>
      </c>
      <c r="BF238" s="76" t="b">
        <v>0</v>
      </c>
      <c r="BG238" s="76" t="b">
        <v>0</v>
      </c>
      <c r="BH238" s="76"/>
      <c r="BI238" s="76"/>
      <c r="BJ238" s="76" t="s">
        <v>7245</v>
      </c>
      <c r="BK238" s="76" t="b">
        <v>0</v>
      </c>
      <c r="BL238" s="76"/>
      <c r="BM238" s="76" t="s">
        <v>66</v>
      </c>
      <c r="BN238" s="76" t="s">
        <v>7247</v>
      </c>
      <c r="BO238" s="83" t="str">
        <f>HYPERLINK("https://twitter.com/brinainvest")</f>
        <v>https://twitter.com/brinainvest</v>
      </c>
      <c r="BP238" s="2"/>
    </row>
    <row r="239" spans="1:68" x14ac:dyDescent="0.25">
      <c r="A239" s="62" t="s">
        <v>448</v>
      </c>
      <c r="B239" s="63"/>
      <c r="C239" s="63"/>
      <c r="D239" s="64"/>
      <c r="E239" s="66"/>
      <c r="F239" s="102" t="str">
        <f>HYPERLINK("https://pbs.twimg.com/profile_images/1628185029837832193/Qb7BI_Jj_normal.jpg")</f>
        <v>https://pbs.twimg.com/profile_images/1628185029837832193/Qb7BI_Jj_normal.jpg</v>
      </c>
      <c r="G239" s="63"/>
      <c r="H239" s="67"/>
      <c r="I239" s="68"/>
      <c r="J239" s="68"/>
      <c r="K239" s="67" t="s">
        <v>7483</v>
      </c>
      <c r="L239" s="71"/>
      <c r="M239" s="72"/>
      <c r="N239" s="72"/>
      <c r="O239" s="73"/>
      <c r="P239" s="74"/>
      <c r="Q239" s="74"/>
      <c r="R239" s="86"/>
      <c r="S239" s="86"/>
      <c r="T239" s="86"/>
      <c r="U239" s="86"/>
      <c r="V239" s="48"/>
      <c r="W239" s="48"/>
      <c r="X239" s="48"/>
      <c r="Y239" s="48"/>
      <c r="Z239" s="47"/>
      <c r="AA239" s="69">
        <v>239</v>
      </c>
      <c r="AB239" s="69"/>
      <c r="AC239" s="70"/>
      <c r="AD239" s="76" t="s">
        <v>6365</v>
      </c>
      <c r="AE239" s="81" t="s">
        <v>6015</v>
      </c>
      <c r="AF239" s="76">
        <v>3</v>
      </c>
      <c r="AG239" s="76">
        <v>70</v>
      </c>
      <c r="AH239" s="76">
        <v>68</v>
      </c>
      <c r="AI239" s="76">
        <v>1</v>
      </c>
      <c r="AJ239" s="76">
        <v>50</v>
      </c>
      <c r="AK239" s="76">
        <v>49</v>
      </c>
      <c r="AL239" s="76" t="b">
        <v>0</v>
      </c>
      <c r="AM239" s="78">
        <v>44978.99019675926</v>
      </c>
      <c r="AN239" s="76"/>
      <c r="AO239" s="76" t="s">
        <v>6884</v>
      </c>
      <c r="AP239" s="76"/>
      <c r="AQ239" s="76"/>
      <c r="AR239" s="76"/>
      <c r="AS239" s="76"/>
      <c r="AT239" s="76"/>
      <c r="AU239" s="76"/>
      <c r="AV239" s="76"/>
      <c r="AW239" s="76"/>
      <c r="AX239" s="76" t="b">
        <v>0</v>
      </c>
      <c r="AY239" s="76"/>
      <c r="AZ239" s="76"/>
      <c r="BA239" s="76" t="b">
        <v>0</v>
      </c>
      <c r="BB239" s="76" t="b">
        <v>1</v>
      </c>
      <c r="BC239" s="76" t="b">
        <v>1</v>
      </c>
      <c r="BD239" s="76" t="b">
        <v>0</v>
      </c>
      <c r="BE239" s="76" t="b">
        <v>1</v>
      </c>
      <c r="BF239" s="76" t="b">
        <v>0</v>
      </c>
      <c r="BG239" s="76" t="b">
        <v>0</v>
      </c>
      <c r="BH239" s="76"/>
      <c r="BI239" s="76"/>
      <c r="BJ239" s="76" t="s">
        <v>7245</v>
      </c>
      <c r="BK239" s="76" t="b">
        <v>0</v>
      </c>
      <c r="BL239" s="76"/>
      <c r="BM239" s="76" t="s">
        <v>66</v>
      </c>
      <c r="BN239" s="76" t="s">
        <v>7247</v>
      </c>
      <c r="BO239" s="83" t="str">
        <f>HYPERLINK("https://twitter.com/lucaspereira_ef")</f>
        <v>https://twitter.com/lucaspereira_ef</v>
      </c>
      <c r="BP239" s="2"/>
    </row>
    <row r="240" spans="1:68" x14ac:dyDescent="0.25">
      <c r="A240" s="62" t="s">
        <v>449</v>
      </c>
      <c r="B240" s="63"/>
      <c r="C240" s="63"/>
      <c r="D240" s="64"/>
      <c r="E240" s="66"/>
      <c r="F240" s="102" t="str">
        <f>HYPERLINK("https://pbs.twimg.com/profile_images/1646100783002185729/SupiSoVh_normal.jpg")</f>
        <v>https://pbs.twimg.com/profile_images/1646100783002185729/SupiSoVh_normal.jpg</v>
      </c>
      <c r="G240" s="63"/>
      <c r="H240" s="67"/>
      <c r="I240" s="68"/>
      <c r="J240" s="68"/>
      <c r="K240" s="67" t="s">
        <v>7484</v>
      </c>
      <c r="L240" s="71"/>
      <c r="M240" s="72"/>
      <c r="N240" s="72"/>
      <c r="O240" s="73"/>
      <c r="P240" s="74"/>
      <c r="Q240" s="74"/>
      <c r="R240" s="86"/>
      <c r="S240" s="86"/>
      <c r="T240" s="86"/>
      <c r="U240" s="86"/>
      <c r="V240" s="48"/>
      <c r="W240" s="48"/>
      <c r="X240" s="48"/>
      <c r="Y240" s="48"/>
      <c r="Z240" s="47"/>
      <c r="AA240" s="69">
        <v>240</v>
      </c>
      <c r="AB240" s="69"/>
      <c r="AC240" s="70"/>
      <c r="AD240" s="76" t="s">
        <v>6366</v>
      </c>
      <c r="AE240" s="81" t="s">
        <v>6529</v>
      </c>
      <c r="AF240" s="76">
        <v>1158</v>
      </c>
      <c r="AG240" s="76">
        <v>102</v>
      </c>
      <c r="AH240" s="76">
        <v>31359</v>
      </c>
      <c r="AI240" s="76">
        <v>16</v>
      </c>
      <c r="AJ240" s="76">
        <v>13995</v>
      </c>
      <c r="AK240" s="76">
        <v>3316</v>
      </c>
      <c r="AL240" s="76" t="b">
        <v>0</v>
      </c>
      <c r="AM240" s="78">
        <v>39948.993807870371</v>
      </c>
      <c r="AN240" s="76" t="s">
        <v>6638</v>
      </c>
      <c r="AO240" s="76" t="s">
        <v>6885</v>
      </c>
      <c r="AP240" s="83" t="str">
        <f>HYPERLINK("https://t.co/LX13C6MGzf")</f>
        <v>https://t.co/LX13C6MGzf</v>
      </c>
      <c r="AQ240" s="83" t="str">
        <f>HYPERLINK("https://www.youtube.com/@vivendopelocaminho")</f>
        <v>https://www.youtube.com/@vivendopelocaminho</v>
      </c>
      <c r="AR240" s="76" t="s">
        <v>7130</v>
      </c>
      <c r="AS240" s="76"/>
      <c r="AT240" s="76"/>
      <c r="AU240" s="76"/>
      <c r="AV240" s="76"/>
      <c r="AW240" s="83" t="str">
        <f>HYPERLINK("https://t.co/LX13C6MGzf")</f>
        <v>https://t.co/LX13C6MGzf</v>
      </c>
      <c r="AX240" s="76" t="b">
        <v>0</v>
      </c>
      <c r="AY240" s="76"/>
      <c r="AZ240" s="76"/>
      <c r="BA240" s="76" t="b">
        <v>0</v>
      </c>
      <c r="BB240" s="76" t="b">
        <v>1</v>
      </c>
      <c r="BC240" s="76" t="b">
        <v>0</v>
      </c>
      <c r="BD240" s="76" t="b">
        <v>0</v>
      </c>
      <c r="BE240" s="76" t="b">
        <v>0</v>
      </c>
      <c r="BF240" s="76" t="b">
        <v>0</v>
      </c>
      <c r="BG240" s="76" t="b">
        <v>0</v>
      </c>
      <c r="BH240" s="83" t="str">
        <f>HYPERLINK("https://pbs.twimg.com/profile_banners/40364468/1651957767")</f>
        <v>https://pbs.twimg.com/profile_banners/40364468/1651957767</v>
      </c>
      <c r="BI240" s="76"/>
      <c r="BJ240" s="76" t="s">
        <v>7245</v>
      </c>
      <c r="BK240" s="76" t="b">
        <v>0</v>
      </c>
      <c r="BL240" s="76"/>
      <c r="BM240" s="76" t="s">
        <v>66</v>
      </c>
      <c r="BN240" s="76" t="s">
        <v>7247</v>
      </c>
      <c r="BO240" s="83" t="str">
        <f>HYPERLINK("https://twitter.com/jotavela")</f>
        <v>https://twitter.com/jotavela</v>
      </c>
      <c r="BP240" s="2"/>
    </row>
    <row r="241" spans="1:68" x14ac:dyDescent="0.25">
      <c r="A241" s="62" t="s">
        <v>450</v>
      </c>
      <c r="B241" s="63"/>
      <c r="C241" s="63"/>
      <c r="D241" s="64"/>
      <c r="E241" s="66"/>
      <c r="F241" s="102" t="str">
        <f>HYPERLINK("https://pbs.twimg.com/profile_images/1641190667698184193/Y-MyxQho_normal.jpg")</f>
        <v>https://pbs.twimg.com/profile_images/1641190667698184193/Y-MyxQho_normal.jpg</v>
      </c>
      <c r="G241" s="63"/>
      <c r="H241" s="67"/>
      <c r="I241" s="68"/>
      <c r="J241" s="68"/>
      <c r="K241" s="67" t="s">
        <v>7485</v>
      </c>
      <c r="L241" s="71"/>
      <c r="M241" s="72"/>
      <c r="N241" s="72"/>
      <c r="O241" s="73"/>
      <c r="P241" s="74"/>
      <c r="Q241" s="74"/>
      <c r="R241" s="86"/>
      <c r="S241" s="86"/>
      <c r="T241" s="86"/>
      <c r="U241" s="86"/>
      <c r="V241" s="48"/>
      <c r="W241" s="48"/>
      <c r="X241" s="48"/>
      <c r="Y241" s="48"/>
      <c r="Z241" s="47"/>
      <c r="AA241" s="69">
        <v>241</v>
      </c>
      <c r="AB241" s="69"/>
      <c r="AC241" s="70"/>
      <c r="AD241" s="76" t="s">
        <v>6367</v>
      </c>
      <c r="AE241" s="81" t="s">
        <v>6016</v>
      </c>
      <c r="AF241" s="76">
        <v>0</v>
      </c>
      <c r="AG241" s="76">
        <v>5</v>
      </c>
      <c r="AH241" s="76">
        <v>19</v>
      </c>
      <c r="AI241" s="76">
        <v>0</v>
      </c>
      <c r="AJ241" s="76">
        <v>1</v>
      </c>
      <c r="AK241" s="76">
        <v>1</v>
      </c>
      <c r="AL241" s="76" t="b">
        <v>0</v>
      </c>
      <c r="AM241" s="78">
        <v>44982.573078703703</v>
      </c>
      <c r="AN241" s="76"/>
      <c r="AO241" s="76" t="s">
        <v>6886</v>
      </c>
      <c r="AP241" s="83" t="str">
        <f>HYPERLINK("https://t.co/5QPXHSTU6v")</f>
        <v>https://t.co/5QPXHSTU6v</v>
      </c>
      <c r="AQ241" s="83" t="str">
        <f>HYPERLINK("https://instagram.com/mente__millionaria__?igshid=YmMyMTA2M2Y=")</f>
        <v>https://instagram.com/mente__millionaria__?igshid=YmMyMTA2M2Y=</v>
      </c>
      <c r="AR241" s="76" t="s">
        <v>7131</v>
      </c>
      <c r="AS241" s="76"/>
      <c r="AT241" s="76"/>
      <c r="AU241" s="76"/>
      <c r="AV241" s="76"/>
      <c r="AW241" s="83" t="str">
        <f>HYPERLINK("https://t.co/5QPXHSTU6v")</f>
        <v>https://t.co/5QPXHSTU6v</v>
      </c>
      <c r="AX241" s="76" t="b">
        <v>0</v>
      </c>
      <c r="AY241" s="76"/>
      <c r="AZ241" s="76"/>
      <c r="BA241" s="76" t="b">
        <v>0</v>
      </c>
      <c r="BB241" s="76" t="b">
        <v>1</v>
      </c>
      <c r="BC241" s="76" t="b">
        <v>1</v>
      </c>
      <c r="BD241" s="76" t="b">
        <v>0</v>
      </c>
      <c r="BE241" s="76" t="b">
        <v>0</v>
      </c>
      <c r="BF241" s="76" t="b">
        <v>0</v>
      </c>
      <c r="BG241" s="76" t="b">
        <v>0</v>
      </c>
      <c r="BH241" s="76"/>
      <c r="BI241" s="76"/>
      <c r="BJ241" s="76" t="s">
        <v>7245</v>
      </c>
      <c r="BK241" s="76" t="b">
        <v>0</v>
      </c>
      <c r="BL241" s="76"/>
      <c r="BM241" s="76" t="s">
        <v>66</v>
      </c>
      <c r="BN241" s="76" t="s">
        <v>7247</v>
      </c>
      <c r="BO241" s="83" t="str">
        <f>HYPERLINK("https://twitter.com/mentemillionar")</f>
        <v>https://twitter.com/mentemillionar</v>
      </c>
      <c r="BP241" s="2"/>
    </row>
    <row r="242" spans="1:68" x14ac:dyDescent="0.25">
      <c r="A242" s="62" t="s">
        <v>451</v>
      </c>
      <c r="B242" s="63"/>
      <c r="C242" s="63"/>
      <c r="D242" s="64"/>
      <c r="E242" s="66"/>
      <c r="F242" s="102" t="str">
        <f>HYPERLINK("https://pbs.twimg.com/profile_images/1667326263093067777/r3PmTWr2_normal.jpg")</f>
        <v>https://pbs.twimg.com/profile_images/1667326263093067777/r3PmTWr2_normal.jpg</v>
      </c>
      <c r="G242" s="63"/>
      <c r="H242" s="67"/>
      <c r="I242" s="68"/>
      <c r="J242" s="68"/>
      <c r="K242" s="67" t="s">
        <v>7486</v>
      </c>
      <c r="L242" s="71"/>
      <c r="M242" s="72"/>
      <c r="N242" s="72"/>
      <c r="O242" s="73"/>
      <c r="P242" s="74"/>
      <c r="Q242" s="74"/>
      <c r="R242" s="86"/>
      <c r="S242" s="86"/>
      <c r="T242" s="86"/>
      <c r="U242" s="86"/>
      <c r="V242" s="48"/>
      <c r="W242" s="48"/>
      <c r="X242" s="48"/>
      <c r="Y242" s="48"/>
      <c r="Z242" s="47"/>
      <c r="AA242" s="69">
        <v>242</v>
      </c>
      <c r="AB242" s="69"/>
      <c r="AC242" s="70"/>
      <c r="AD242" s="76" t="s">
        <v>6193</v>
      </c>
      <c r="AE242" s="81" t="s">
        <v>6017</v>
      </c>
      <c r="AF242" s="76">
        <v>0</v>
      </c>
      <c r="AG242" s="76">
        <v>39</v>
      </c>
      <c r="AH242" s="76">
        <v>103</v>
      </c>
      <c r="AI242" s="76">
        <v>0</v>
      </c>
      <c r="AJ242" s="76">
        <v>0</v>
      </c>
      <c r="AK242" s="76">
        <v>53</v>
      </c>
      <c r="AL242" s="76" t="b">
        <v>0</v>
      </c>
      <c r="AM242" s="78">
        <v>44571.453287037039</v>
      </c>
      <c r="AN242" s="76" t="s">
        <v>3762</v>
      </c>
      <c r="AO242" s="76" t="s">
        <v>6887</v>
      </c>
      <c r="AP242" s="76"/>
      <c r="AQ242" s="76"/>
      <c r="AR242" s="76"/>
      <c r="AS242" s="76"/>
      <c r="AT242" s="76"/>
      <c r="AU242" s="76"/>
      <c r="AV242" s="76"/>
      <c r="AW242" s="76"/>
      <c r="AX242" s="76" t="b">
        <v>0</v>
      </c>
      <c r="AY242" s="76"/>
      <c r="AZ242" s="76"/>
      <c r="BA242" s="76" t="b">
        <v>0</v>
      </c>
      <c r="BB242" s="76" t="b">
        <v>1</v>
      </c>
      <c r="BC242" s="76" t="b">
        <v>1</v>
      </c>
      <c r="BD242" s="76" t="b">
        <v>0</v>
      </c>
      <c r="BE242" s="76" t="b">
        <v>0</v>
      </c>
      <c r="BF242" s="76" t="b">
        <v>0</v>
      </c>
      <c r="BG242" s="76" t="b">
        <v>0</v>
      </c>
      <c r="BH242" s="83" t="str">
        <f>HYPERLINK("https://pbs.twimg.com/profile_banners/1480492619541139457/1686356532")</f>
        <v>https://pbs.twimg.com/profile_banners/1480492619541139457/1686356532</v>
      </c>
      <c r="BI242" s="76"/>
      <c r="BJ242" s="76" t="s">
        <v>7245</v>
      </c>
      <c r="BK242" s="76" t="b">
        <v>0</v>
      </c>
      <c r="BL242" s="76"/>
      <c r="BM242" s="76" t="s">
        <v>66</v>
      </c>
      <c r="BN242" s="76" t="s">
        <v>7247</v>
      </c>
      <c r="BO242" s="83" t="str">
        <f>HYPERLINK("https://twitter.com/iberezanski")</f>
        <v>https://twitter.com/iberezanski</v>
      </c>
      <c r="BP242" s="2"/>
    </row>
    <row r="243" spans="1:68" x14ac:dyDescent="0.25">
      <c r="A243" s="62" t="s">
        <v>452</v>
      </c>
      <c r="B243" s="63"/>
      <c r="C243" s="63"/>
      <c r="D243" s="64"/>
      <c r="E243" s="66"/>
      <c r="F243" s="102" t="str">
        <f>HYPERLINK("https://pbs.twimg.com/profile_images/1682169325631729664/9au4R1oC_normal.jpg")</f>
        <v>https://pbs.twimg.com/profile_images/1682169325631729664/9au4R1oC_normal.jpg</v>
      </c>
      <c r="G243" s="63"/>
      <c r="H243" s="67"/>
      <c r="I243" s="68"/>
      <c r="J243" s="68"/>
      <c r="K243" s="67" t="s">
        <v>7487</v>
      </c>
      <c r="L243" s="71"/>
      <c r="M243" s="72"/>
      <c r="N243" s="72"/>
      <c r="O243" s="73"/>
      <c r="P243" s="74"/>
      <c r="Q243" s="74"/>
      <c r="R243" s="86"/>
      <c r="S243" s="86"/>
      <c r="T243" s="86"/>
      <c r="U243" s="86"/>
      <c r="V243" s="48"/>
      <c r="W243" s="48"/>
      <c r="X243" s="48"/>
      <c r="Y243" s="48"/>
      <c r="Z243" s="47"/>
      <c r="AA243" s="69">
        <v>243</v>
      </c>
      <c r="AB243" s="69"/>
      <c r="AC243" s="70"/>
      <c r="AD243" s="76" t="s">
        <v>6368</v>
      </c>
      <c r="AE243" s="81" t="s">
        <v>6018</v>
      </c>
      <c r="AF243" s="76">
        <v>4</v>
      </c>
      <c r="AG243" s="76">
        <v>70</v>
      </c>
      <c r="AH243" s="76">
        <v>2</v>
      </c>
      <c r="AI243" s="76">
        <v>0</v>
      </c>
      <c r="AJ243" s="76">
        <v>7</v>
      </c>
      <c r="AK243" s="76">
        <v>2</v>
      </c>
      <c r="AL243" s="76" t="b">
        <v>0</v>
      </c>
      <c r="AM243" s="78">
        <v>44616.205405092594</v>
      </c>
      <c r="AN243" s="76"/>
      <c r="AO243" s="76"/>
      <c r="AP243" s="76"/>
      <c r="AQ243" s="76"/>
      <c r="AR243" s="76"/>
      <c r="AS243" s="76"/>
      <c r="AT243" s="76"/>
      <c r="AU243" s="76"/>
      <c r="AV243" s="76"/>
      <c r="AW243" s="76"/>
      <c r="AX243" s="76" t="b">
        <v>0</v>
      </c>
      <c r="AY243" s="76"/>
      <c r="AZ243" s="76"/>
      <c r="BA243" s="76" t="b">
        <v>0</v>
      </c>
      <c r="BB243" s="76" t="b">
        <v>1</v>
      </c>
      <c r="BC243" s="76" t="b">
        <v>1</v>
      </c>
      <c r="BD243" s="76" t="b">
        <v>0</v>
      </c>
      <c r="BE243" s="76" t="b">
        <v>0</v>
      </c>
      <c r="BF243" s="76" t="b">
        <v>0</v>
      </c>
      <c r="BG243" s="76" t="b">
        <v>0</v>
      </c>
      <c r="BH243" s="83" t="str">
        <f>HYPERLINK("https://pbs.twimg.com/profile_banners/1496710348518400000/1689895406")</f>
        <v>https://pbs.twimg.com/profile_banners/1496710348518400000/1689895406</v>
      </c>
      <c r="BI243" s="76"/>
      <c r="BJ243" s="76" t="s">
        <v>7245</v>
      </c>
      <c r="BK243" s="76" t="b">
        <v>0</v>
      </c>
      <c r="BL243" s="76"/>
      <c r="BM243" s="76" t="s">
        <v>66</v>
      </c>
      <c r="BN243" s="76" t="s">
        <v>7247</v>
      </c>
      <c r="BO243" s="83" t="str">
        <f>HYPERLINK("https://twitter.com/lucassi73345017")</f>
        <v>https://twitter.com/lucassi73345017</v>
      </c>
      <c r="BP243" s="2"/>
    </row>
    <row r="244" spans="1:68" x14ac:dyDescent="0.25">
      <c r="A244" s="62" t="s">
        <v>453</v>
      </c>
      <c r="B244" s="63"/>
      <c r="C244" s="63"/>
      <c r="D244" s="64"/>
      <c r="E244" s="66"/>
      <c r="F244" s="102" t="str">
        <f>HYPERLINK("https://pbs.twimg.com/profile_images/1621519372962639872/-AUYl2x6_normal.jpg")</f>
        <v>https://pbs.twimg.com/profile_images/1621519372962639872/-AUYl2x6_normal.jpg</v>
      </c>
      <c r="G244" s="63"/>
      <c r="H244" s="67"/>
      <c r="I244" s="68"/>
      <c r="J244" s="68"/>
      <c r="K244" s="67" t="s">
        <v>7488</v>
      </c>
      <c r="L244" s="71"/>
      <c r="M244" s="72"/>
      <c r="N244" s="72"/>
      <c r="O244" s="73"/>
      <c r="P244" s="74"/>
      <c r="Q244" s="74"/>
      <c r="R244" s="86"/>
      <c r="S244" s="86"/>
      <c r="T244" s="86"/>
      <c r="U244" s="86"/>
      <c r="V244" s="48"/>
      <c r="W244" s="48"/>
      <c r="X244" s="48"/>
      <c r="Y244" s="48"/>
      <c r="Z244" s="47"/>
      <c r="AA244" s="69">
        <v>244</v>
      </c>
      <c r="AB244" s="69"/>
      <c r="AC244" s="70"/>
      <c r="AD244" s="76" t="s">
        <v>6369</v>
      </c>
      <c r="AE244" s="81" t="s">
        <v>6530</v>
      </c>
      <c r="AF244" s="76">
        <v>14</v>
      </c>
      <c r="AG244" s="76">
        <v>0</v>
      </c>
      <c r="AH244" s="76">
        <v>110</v>
      </c>
      <c r="AI244" s="76">
        <v>0</v>
      </c>
      <c r="AJ244" s="76">
        <v>4</v>
      </c>
      <c r="AK244" s="76">
        <v>108</v>
      </c>
      <c r="AL244" s="76" t="b">
        <v>0</v>
      </c>
      <c r="AM244" s="78">
        <v>40893.710543981484</v>
      </c>
      <c r="AN244" s="76"/>
      <c r="AO244" s="76" t="s">
        <v>6888</v>
      </c>
      <c r="AP244" s="83" t="str">
        <f>HYPERLINK("https://t.co/TAyTDwApwN")</f>
        <v>https://t.co/TAyTDwApwN</v>
      </c>
      <c r="AQ244" s="83" t="str">
        <f>HYPERLINK("https://wagnergeremia.com")</f>
        <v>https://wagnergeremia.com</v>
      </c>
      <c r="AR244" s="76" t="s">
        <v>7132</v>
      </c>
      <c r="AS244" s="83" t="str">
        <f>HYPERLINK("https://t.co/baTRTtnSFN")</f>
        <v>https://t.co/baTRTtnSFN</v>
      </c>
      <c r="AT244" s="83" t="str">
        <f>HYPERLINK("http://wagnergeremia.com")</f>
        <v>http://wagnergeremia.com</v>
      </c>
      <c r="AU244" s="76" t="s">
        <v>7132</v>
      </c>
      <c r="AV244" s="76"/>
      <c r="AW244" s="83" t="str">
        <f>HYPERLINK("https://t.co/TAyTDwApwN")</f>
        <v>https://t.co/TAyTDwApwN</v>
      </c>
      <c r="AX244" s="76" t="b">
        <v>0</v>
      </c>
      <c r="AY244" s="76"/>
      <c r="AZ244" s="76"/>
      <c r="BA244" s="76" t="b">
        <v>0</v>
      </c>
      <c r="BB244" s="76" t="b">
        <v>1</v>
      </c>
      <c r="BC244" s="76" t="b">
        <v>1</v>
      </c>
      <c r="BD244" s="76" t="b">
        <v>0</v>
      </c>
      <c r="BE244" s="76" t="b">
        <v>0</v>
      </c>
      <c r="BF244" s="76" t="b">
        <v>0</v>
      </c>
      <c r="BG244" s="76" t="b">
        <v>0</v>
      </c>
      <c r="BH244" s="83" t="str">
        <f>HYPERLINK("https://pbs.twimg.com/profile_banners/438488077/1675435381")</f>
        <v>https://pbs.twimg.com/profile_banners/438488077/1675435381</v>
      </c>
      <c r="BI244" s="76"/>
      <c r="BJ244" s="76" t="s">
        <v>7245</v>
      </c>
      <c r="BK244" s="76" t="b">
        <v>0</v>
      </c>
      <c r="BL244" s="76"/>
      <c r="BM244" s="76" t="s">
        <v>66</v>
      </c>
      <c r="BN244" s="76" t="s">
        <v>7247</v>
      </c>
      <c r="BO244" s="83" t="str">
        <f>HYPERLINK("https://twitter.com/wagnergeremia")</f>
        <v>https://twitter.com/wagnergeremia</v>
      </c>
      <c r="BP244" s="2"/>
    </row>
    <row r="245" spans="1:68" x14ac:dyDescent="0.25">
      <c r="A245" s="62" t="s">
        <v>454</v>
      </c>
      <c r="B245" s="63"/>
      <c r="C245" s="63"/>
      <c r="D245" s="64"/>
      <c r="E245" s="66"/>
      <c r="F245" s="102" t="str">
        <f>HYPERLINK("https://pbs.twimg.com/profile_images/1701638001615331328/8HNb7Bam_normal.jpg")</f>
        <v>https://pbs.twimg.com/profile_images/1701638001615331328/8HNb7Bam_normal.jpg</v>
      </c>
      <c r="G245" s="63"/>
      <c r="H245" s="67"/>
      <c r="I245" s="68"/>
      <c r="J245" s="68"/>
      <c r="K245" s="67" t="s">
        <v>7489</v>
      </c>
      <c r="L245" s="71"/>
      <c r="M245" s="72"/>
      <c r="N245" s="72"/>
      <c r="O245" s="73"/>
      <c r="P245" s="74"/>
      <c r="Q245" s="74"/>
      <c r="R245" s="86"/>
      <c r="S245" s="86"/>
      <c r="T245" s="86"/>
      <c r="U245" s="86"/>
      <c r="V245" s="48"/>
      <c r="W245" s="48"/>
      <c r="X245" s="48"/>
      <c r="Y245" s="48"/>
      <c r="Z245" s="47"/>
      <c r="AA245" s="69">
        <v>245</v>
      </c>
      <c r="AB245" s="69"/>
      <c r="AC245" s="70"/>
      <c r="AD245" s="76" t="s">
        <v>6370</v>
      </c>
      <c r="AE245" s="81" t="s">
        <v>6019</v>
      </c>
      <c r="AF245" s="76">
        <v>375</v>
      </c>
      <c r="AG245" s="76">
        <v>1195</v>
      </c>
      <c r="AH245" s="76">
        <v>743</v>
      </c>
      <c r="AI245" s="76">
        <v>4</v>
      </c>
      <c r="AJ245" s="76">
        <v>860</v>
      </c>
      <c r="AK245" s="76">
        <v>194</v>
      </c>
      <c r="AL245" s="76" t="b">
        <v>0</v>
      </c>
      <c r="AM245" s="78">
        <v>45040.500196759262</v>
      </c>
      <c r="AN245" s="76" t="s">
        <v>6639</v>
      </c>
      <c r="AO245" s="76" t="s">
        <v>6889</v>
      </c>
      <c r="AP245" s="76"/>
      <c r="AQ245" s="76"/>
      <c r="AR245" s="76"/>
      <c r="AS245" s="76"/>
      <c r="AT245" s="76"/>
      <c r="AU245" s="76"/>
      <c r="AV245" s="76">
        <v>1.7031387765899599E+18</v>
      </c>
      <c r="AW245" s="76"/>
      <c r="AX245" s="76" t="b">
        <v>1</v>
      </c>
      <c r="AY245" s="76"/>
      <c r="AZ245" s="76"/>
      <c r="BA245" s="76" t="b">
        <v>0</v>
      </c>
      <c r="BB245" s="76" t="b">
        <v>1</v>
      </c>
      <c r="BC245" s="76" t="b">
        <v>1</v>
      </c>
      <c r="BD245" s="76" t="b">
        <v>0</v>
      </c>
      <c r="BE245" s="76" t="b">
        <v>0</v>
      </c>
      <c r="BF245" s="76" t="b">
        <v>0</v>
      </c>
      <c r="BG245" s="76" t="b">
        <v>0</v>
      </c>
      <c r="BH245" s="83" t="str">
        <f>HYPERLINK("https://pbs.twimg.com/profile_banners/1650469593952014340/1682339548")</f>
        <v>https://pbs.twimg.com/profile_banners/1650469593952014340/1682339548</v>
      </c>
      <c r="BI245" s="76"/>
      <c r="BJ245" s="76" t="s">
        <v>7245</v>
      </c>
      <c r="BK245" s="76" t="b">
        <v>0</v>
      </c>
      <c r="BL245" s="76"/>
      <c r="BM245" s="76" t="s">
        <v>66</v>
      </c>
      <c r="BN245" s="76" t="s">
        <v>7247</v>
      </c>
      <c r="BO245" s="83" t="str">
        <f>HYPERLINK("https://twitter.com/seiacoes")</f>
        <v>https://twitter.com/seiacoes</v>
      </c>
      <c r="BP245" s="2"/>
    </row>
    <row r="246" spans="1:68" x14ac:dyDescent="0.25">
      <c r="A246" s="62" t="s">
        <v>455</v>
      </c>
      <c r="B246" s="63"/>
      <c r="C246" s="63"/>
      <c r="D246" s="64"/>
      <c r="E246" s="66"/>
      <c r="F246" s="102" t="str">
        <f>HYPERLINK("https://pbs.twimg.com/profile_images/1611157021243351040/egXE7ZmB_normal.jpg")</f>
        <v>https://pbs.twimg.com/profile_images/1611157021243351040/egXE7ZmB_normal.jpg</v>
      </c>
      <c r="G246" s="63"/>
      <c r="H246" s="67"/>
      <c r="I246" s="68"/>
      <c r="J246" s="68"/>
      <c r="K246" s="67" t="s">
        <v>7490</v>
      </c>
      <c r="L246" s="71"/>
      <c r="M246" s="72"/>
      <c r="N246" s="72"/>
      <c r="O246" s="73"/>
      <c r="P246" s="74"/>
      <c r="Q246" s="74"/>
      <c r="R246" s="86"/>
      <c r="S246" s="86"/>
      <c r="T246" s="86"/>
      <c r="U246" s="86"/>
      <c r="V246" s="48"/>
      <c r="W246" s="48"/>
      <c r="X246" s="48"/>
      <c r="Y246" s="48"/>
      <c r="Z246" s="47"/>
      <c r="AA246" s="69">
        <v>246</v>
      </c>
      <c r="AB246" s="69"/>
      <c r="AC246" s="70"/>
      <c r="AD246" s="76" t="s">
        <v>6371</v>
      </c>
      <c r="AE246" s="81" t="s">
        <v>6020</v>
      </c>
      <c r="AF246" s="76">
        <v>266</v>
      </c>
      <c r="AG246" s="76">
        <v>2347</v>
      </c>
      <c r="AH246" s="76">
        <v>104</v>
      </c>
      <c r="AI246" s="76">
        <v>1</v>
      </c>
      <c r="AJ246" s="76">
        <v>132</v>
      </c>
      <c r="AK246" s="76">
        <v>38</v>
      </c>
      <c r="AL246" s="76" t="b">
        <v>0</v>
      </c>
      <c r="AM246" s="78">
        <v>44665.015196759261</v>
      </c>
      <c r="AN246" s="76"/>
      <c r="AO246" s="76" t="s">
        <v>6890</v>
      </c>
      <c r="AP246" s="83" t="str">
        <f>HYPERLINK("https://t.co/jvND9I0X26")</f>
        <v>https://t.co/jvND9I0X26</v>
      </c>
      <c r="AQ246" s="83" t="str">
        <f>HYPERLINK("http://www.linearpay.com.br")</f>
        <v>http://www.linearpay.com.br</v>
      </c>
      <c r="AR246" s="76" t="s">
        <v>7133</v>
      </c>
      <c r="AS246" s="76"/>
      <c r="AT246" s="76"/>
      <c r="AU246" s="76"/>
      <c r="AV246" s="76"/>
      <c r="AW246" s="83" t="str">
        <f>HYPERLINK("https://t.co/jvND9I0X26")</f>
        <v>https://t.co/jvND9I0X26</v>
      </c>
      <c r="AX246" s="76" t="b">
        <v>0</v>
      </c>
      <c r="AY246" s="76"/>
      <c r="AZ246" s="76"/>
      <c r="BA246" s="76" t="b">
        <v>1</v>
      </c>
      <c r="BB246" s="76" t="b">
        <v>1</v>
      </c>
      <c r="BC246" s="76" t="b">
        <v>1</v>
      </c>
      <c r="BD246" s="76" t="b">
        <v>0</v>
      </c>
      <c r="BE246" s="76" t="b">
        <v>0</v>
      </c>
      <c r="BF246" s="76" t="b">
        <v>0</v>
      </c>
      <c r="BG246" s="76" t="b">
        <v>0</v>
      </c>
      <c r="BH246" s="83" t="str">
        <f>HYPERLINK("https://pbs.twimg.com/profile_banners/1514398421393752065/1675174303")</f>
        <v>https://pbs.twimg.com/profile_banners/1514398421393752065/1675174303</v>
      </c>
      <c r="BI246" s="76"/>
      <c r="BJ246" s="76" t="s">
        <v>7245</v>
      </c>
      <c r="BK246" s="76" t="b">
        <v>0</v>
      </c>
      <c r="BL246" s="76"/>
      <c r="BM246" s="76" t="s">
        <v>66</v>
      </c>
      <c r="BN246" s="76" t="s">
        <v>7247</v>
      </c>
      <c r="BO246" s="83" t="str">
        <f>HYPERLINK("https://twitter.com/linearpay")</f>
        <v>https://twitter.com/linearpay</v>
      </c>
      <c r="BP246" s="2"/>
    </row>
    <row r="247" spans="1:68" x14ac:dyDescent="0.25">
      <c r="A247" s="62" t="s">
        <v>456</v>
      </c>
      <c r="B247" s="63"/>
      <c r="C247" s="63"/>
      <c r="D247" s="64"/>
      <c r="E247" s="66"/>
      <c r="F247" s="102" t="str">
        <f>HYPERLINK("https://pbs.twimg.com/profile_images/1247602112495792130/27Bt4BKe_normal.jpg")</f>
        <v>https://pbs.twimg.com/profile_images/1247602112495792130/27Bt4BKe_normal.jpg</v>
      </c>
      <c r="G247" s="63"/>
      <c r="H247" s="67"/>
      <c r="I247" s="68"/>
      <c r="J247" s="68"/>
      <c r="K247" s="67" t="s">
        <v>7491</v>
      </c>
      <c r="L247" s="71"/>
      <c r="M247" s="72"/>
      <c r="N247" s="72"/>
      <c r="O247" s="73"/>
      <c r="P247" s="74"/>
      <c r="Q247" s="74"/>
      <c r="R247" s="86"/>
      <c r="S247" s="86"/>
      <c r="T247" s="86"/>
      <c r="U247" s="86"/>
      <c r="V247" s="48"/>
      <c r="W247" s="48"/>
      <c r="X247" s="48"/>
      <c r="Y247" s="48"/>
      <c r="Z247" s="47"/>
      <c r="AA247" s="69">
        <v>247</v>
      </c>
      <c r="AB247" s="69"/>
      <c r="AC247" s="70"/>
      <c r="AD247" s="76" t="s">
        <v>6372</v>
      </c>
      <c r="AE247" s="81" t="s">
        <v>6021</v>
      </c>
      <c r="AF247" s="76">
        <v>8</v>
      </c>
      <c r="AG247" s="76">
        <v>7</v>
      </c>
      <c r="AH247" s="76">
        <v>1464</v>
      </c>
      <c r="AI247" s="76">
        <v>0</v>
      </c>
      <c r="AJ247" s="76">
        <v>2</v>
      </c>
      <c r="AK247" s="76">
        <v>1432</v>
      </c>
      <c r="AL247" s="76" t="b">
        <v>0</v>
      </c>
      <c r="AM247" s="78">
        <v>43928.795590277776</v>
      </c>
      <c r="AN247" s="76" t="s">
        <v>3763</v>
      </c>
      <c r="AO247" s="76" t="s">
        <v>6891</v>
      </c>
      <c r="AP247" s="83" t="str">
        <f>HYPERLINK("https://t.co/L6zr9dwc0L")</f>
        <v>https://t.co/L6zr9dwc0L</v>
      </c>
      <c r="AQ247" s="83" t="str">
        <f>HYPERLINK("http://www.menezescontabilidade.com.br")</f>
        <v>http://www.menezescontabilidade.com.br</v>
      </c>
      <c r="AR247" s="76" t="s">
        <v>7134</v>
      </c>
      <c r="AS247" s="76"/>
      <c r="AT247" s="76"/>
      <c r="AU247" s="76"/>
      <c r="AV247" s="76"/>
      <c r="AW247" s="83" t="str">
        <f>HYPERLINK("https://t.co/L6zr9dwc0L")</f>
        <v>https://t.co/L6zr9dwc0L</v>
      </c>
      <c r="AX247" s="76" t="b">
        <v>0</v>
      </c>
      <c r="AY247" s="76"/>
      <c r="AZ247" s="76"/>
      <c r="BA247" s="76" t="b">
        <v>0</v>
      </c>
      <c r="BB247" s="76" t="b">
        <v>1</v>
      </c>
      <c r="BC247" s="76" t="b">
        <v>1</v>
      </c>
      <c r="BD247" s="76" t="b">
        <v>0</v>
      </c>
      <c r="BE247" s="76" t="b">
        <v>0</v>
      </c>
      <c r="BF247" s="76" t="b">
        <v>0</v>
      </c>
      <c r="BG247" s="76" t="b">
        <v>0</v>
      </c>
      <c r="BH247" s="83" t="str">
        <f>HYPERLINK("https://pbs.twimg.com/profile_banners/1247601255259820039/1598223755")</f>
        <v>https://pbs.twimg.com/profile_banners/1247601255259820039/1598223755</v>
      </c>
      <c r="BI247" s="76"/>
      <c r="BJ247" s="76" t="s">
        <v>7245</v>
      </c>
      <c r="BK247" s="76" t="b">
        <v>0</v>
      </c>
      <c r="BL247" s="76"/>
      <c r="BM247" s="76" t="s">
        <v>66</v>
      </c>
      <c r="BN247" s="76" t="s">
        <v>7247</v>
      </c>
      <c r="BO247" s="83" t="str">
        <f>HYPERLINK("https://twitter.com/francelmc")</f>
        <v>https://twitter.com/francelmc</v>
      </c>
      <c r="BP247" s="2"/>
    </row>
    <row r="248" spans="1:68" x14ac:dyDescent="0.25">
      <c r="A248" s="62" t="s">
        <v>457</v>
      </c>
      <c r="B248" s="63"/>
      <c r="C248" s="63"/>
      <c r="D248" s="64"/>
      <c r="E248" s="66"/>
      <c r="F248" s="102" t="str">
        <f>HYPERLINK("https://pbs.twimg.com/profile_images/1685061041120489472/o5S_nrxe_normal.jpg")</f>
        <v>https://pbs.twimg.com/profile_images/1685061041120489472/o5S_nrxe_normal.jpg</v>
      </c>
      <c r="G248" s="63"/>
      <c r="H248" s="67"/>
      <c r="I248" s="68"/>
      <c r="J248" s="68"/>
      <c r="K248" s="67" t="s">
        <v>7492</v>
      </c>
      <c r="L248" s="71"/>
      <c r="M248" s="72"/>
      <c r="N248" s="72"/>
      <c r="O248" s="73"/>
      <c r="P248" s="74"/>
      <c r="Q248" s="74"/>
      <c r="R248" s="86"/>
      <c r="S248" s="86"/>
      <c r="T248" s="86"/>
      <c r="U248" s="86"/>
      <c r="V248" s="48"/>
      <c r="W248" s="48"/>
      <c r="X248" s="48"/>
      <c r="Y248" s="48"/>
      <c r="Z248" s="47"/>
      <c r="AA248" s="69">
        <v>248</v>
      </c>
      <c r="AB248" s="69"/>
      <c r="AC248" s="70"/>
      <c r="AD248" s="76" t="s">
        <v>6373</v>
      </c>
      <c r="AE248" s="81" t="s">
        <v>6022</v>
      </c>
      <c r="AF248" s="76">
        <v>28</v>
      </c>
      <c r="AG248" s="76">
        <v>138</v>
      </c>
      <c r="AH248" s="76">
        <v>56</v>
      </c>
      <c r="AI248" s="76">
        <v>0</v>
      </c>
      <c r="AJ248" s="76">
        <v>9</v>
      </c>
      <c r="AK248" s="76">
        <v>32</v>
      </c>
      <c r="AL248" s="76" t="b">
        <v>0</v>
      </c>
      <c r="AM248" s="78">
        <v>45055.742974537039</v>
      </c>
      <c r="AN248" s="76" t="s">
        <v>6640</v>
      </c>
      <c r="AO248" s="76" t="s">
        <v>6892</v>
      </c>
      <c r="AP248" s="76"/>
      <c r="AQ248" s="76"/>
      <c r="AR248" s="76"/>
      <c r="AS248" s="76"/>
      <c r="AT248" s="76"/>
      <c r="AU248" s="76"/>
      <c r="AV248" s="76"/>
      <c r="AW248" s="76"/>
      <c r="AX248" s="76" t="b">
        <v>0</v>
      </c>
      <c r="AY248" s="76"/>
      <c r="AZ248" s="76"/>
      <c r="BA248" s="76" t="b">
        <v>0</v>
      </c>
      <c r="BB248" s="76" t="b">
        <v>1</v>
      </c>
      <c r="BC248" s="76" t="b">
        <v>1</v>
      </c>
      <c r="BD248" s="76" t="b">
        <v>0</v>
      </c>
      <c r="BE248" s="76" t="b">
        <v>0</v>
      </c>
      <c r="BF248" s="76" t="b">
        <v>0</v>
      </c>
      <c r="BG248" s="76" t="b">
        <v>0</v>
      </c>
      <c r="BH248" s="83" t="str">
        <f>HYPERLINK("https://pbs.twimg.com/profile_banners/1655993374497701895/1690584833")</f>
        <v>https://pbs.twimg.com/profile_banners/1655993374497701895/1690584833</v>
      </c>
      <c r="BI248" s="76"/>
      <c r="BJ248" s="76" t="s">
        <v>7245</v>
      </c>
      <c r="BK248" s="76" t="b">
        <v>0</v>
      </c>
      <c r="BL248" s="76"/>
      <c r="BM248" s="76" t="s">
        <v>66</v>
      </c>
      <c r="BN248" s="76" t="s">
        <v>7247</v>
      </c>
      <c r="BO248" s="83" t="str">
        <f>HYPERLINK("https://twitter.com/palmezanip74904")</f>
        <v>https://twitter.com/palmezanip74904</v>
      </c>
      <c r="BP248" s="2"/>
    </row>
    <row r="249" spans="1:68" x14ac:dyDescent="0.25">
      <c r="A249" s="62" t="s">
        <v>458</v>
      </c>
      <c r="B249" s="63"/>
      <c r="C249" s="63"/>
      <c r="D249" s="64"/>
      <c r="E249" s="66"/>
      <c r="F249" s="102" t="str">
        <f>HYPERLINK("https://pbs.twimg.com/profile_images/1664024456262549505/LEYLe1s-_normal.jpg")</f>
        <v>https://pbs.twimg.com/profile_images/1664024456262549505/LEYLe1s-_normal.jpg</v>
      </c>
      <c r="G249" s="63"/>
      <c r="H249" s="67"/>
      <c r="I249" s="68"/>
      <c r="J249" s="68"/>
      <c r="K249" s="67" t="s">
        <v>7493</v>
      </c>
      <c r="L249" s="71"/>
      <c r="M249" s="72"/>
      <c r="N249" s="72"/>
      <c r="O249" s="73"/>
      <c r="P249" s="74"/>
      <c r="Q249" s="74"/>
      <c r="R249" s="86"/>
      <c r="S249" s="86"/>
      <c r="T249" s="86"/>
      <c r="U249" s="86"/>
      <c r="V249" s="48"/>
      <c r="W249" s="48"/>
      <c r="X249" s="48"/>
      <c r="Y249" s="48"/>
      <c r="Z249" s="47"/>
      <c r="AA249" s="69">
        <v>249</v>
      </c>
      <c r="AB249" s="69"/>
      <c r="AC249" s="70"/>
      <c r="AD249" s="76" t="s">
        <v>6374</v>
      </c>
      <c r="AE249" s="81" t="s">
        <v>5601</v>
      </c>
      <c r="AF249" s="76">
        <v>2</v>
      </c>
      <c r="AG249" s="76">
        <v>33</v>
      </c>
      <c r="AH249" s="76">
        <v>82</v>
      </c>
      <c r="AI249" s="76">
        <v>0</v>
      </c>
      <c r="AJ249" s="76">
        <v>1853</v>
      </c>
      <c r="AK249" s="76">
        <v>5</v>
      </c>
      <c r="AL249" s="76" t="b">
        <v>0</v>
      </c>
      <c r="AM249" s="78">
        <v>44885.700138888889</v>
      </c>
      <c r="AN249" s="76" t="s">
        <v>6587</v>
      </c>
      <c r="AO249" s="76" t="s">
        <v>6893</v>
      </c>
      <c r="AP249" s="83" t="str">
        <f>HYPERLINK("https://t.co/Eyo2nnVkAy")</f>
        <v>https://t.co/Eyo2nnVkAy</v>
      </c>
      <c r="AQ249" s="83" t="str">
        <f>HYPERLINK("http://www.vivendoplenamente.com.br")</f>
        <v>http://www.vivendoplenamente.com.br</v>
      </c>
      <c r="AR249" s="76" t="s">
        <v>7135</v>
      </c>
      <c r="AS249" s="76"/>
      <c r="AT249" s="76"/>
      <c r="AU249" s="76"/>
      <c r="AV249" s="76"/>
      <c r="AW249" s="83" t="str">
        <f>HYPERLINK("https://t.co/Eyo2nnVkAy")</f>
        <v>https://t.co/Eyo2nnVkAy</v>
      </c>
      <c r="AX249" s="76" t="b">
        <v>0</v>
      </c>
      <c r="AY249" s="76"/>
      <c r="AZ249" s="76"/>
      <c r="BA249" s="76" t="b">
        <v>0</v>
      </c>
      <c r="BB249" s="76" t="b">
        <v>0</v>
      </c>
      <c r="BC249" s="76" t="b">
        <v>1</v>
      </c>
      <c r="BD249" s="76" t="b">
        <v>0</v>
      </c>
      <c r="BE249" s="76" t="b">
        <v>1</v>
      </c>
      <c r="BF249" s="76" t="b">
        <v>0</v>
      </c>
      <c r="BG249" s="76" t="b">
        <v>0</v>
      </c>
      <c r="BH249" s="83" t="str">
        <f>HYPERLINK("https://pbs.twimg.com/profile_banners/1594371871763480581/1685569323")</f>
        <v>https://pbs.twimg.com/profile_banners/1594371871763480581/1685569323</v>
      </c>
      <c r="BI249" s="76"/>
      <c r="BJ249" s="76" t="s">
        <v>7245</v>
      </c>
      <c r="BK249" s="76" t="b">
        <v>0</v>
      </c>
      <c r="BL249" s="76"/>
      <c r="BM249" s="76" t="s">
        <v>66</v>
      </c>
      <c r="BN249" s="76" t="s">
        <v>7247</v>
      </c>
      <c r="BO249" s="83" t="str">
        <f>HYPERLINK("https://twitter.com/almepoupa")</f>
        <v>https://twitter.com/almepoupa</v>
      </c>
      <c r="BP249" s="2"/>
    </row>
    <row r="250" spans="1:68" x14ac:dyDescent="0.25">
      <c r="A250" s="62" t="s">
        <v>459</v>
      </c>
      <c r="B250" s="63"/>
      <c r="C250" s="63"/>
      <c r="D250" s="64"/>
      <c r="E250" s="66"/>
      <c r="F250" s="102" t="str">
        <f>HYPERLINK("https://pbs.twimg.com/profile_images/1698533728450961408/QfniagiY_normal.jpg")</f>
        <v>https://pbs.twimg.com/profile_images/1698533728450961408/QfniagiY_normal.jpg</v>
      </c>
      <c r="G250" s="63"/>
      <c r="H250" s="67"/>
      <c r="I250" s="68"/>
      <c r="J250" s="68"/>
      <c r="K250" s="67" t="s">
        <v>7494</v>
      </c>
      <c r="L250" s="71"/>
      <c r="M250" s="72"/>
      <c r="N250" s="72"/>
      <c r="O250" s="73"/>
      <c r="P250" s="74"/>
      <c r="Q250" s="74"/>
      <c r="R250" s="86"/>
      <c r="S250" s="86"/>
      <c r="T250" s="86"/>
      <c r="U250" s="86"/>
      <c r="V250" s="48"/>
      <c r="W250" s="48"/>
      <c r="X250" s="48"/>
      <c r="Y250" s="48"/>
      <c r="Z250" s="47"/>
      <c r="AA250" s="69">
        <v>250</v>
      </c>
      <c r="AB250" s="69"/>
      <c r="AC250" s="70"/>
      <c r="AD250" s="76" t="s">
        <v>6375</v>
      </c>
      <c r="AE250" s="81" t="s">
        <v>6023</v>
      </c>
      <c r="AF250" s="76">
        <v>0</v>
      </c>
      <c r="AG250" s="76">
        <v>8</v>
      </c>
      <c r="AH250" s="76">
        <v>2</v>
      </c>
      <c r="AI250" s="76">
        <v>0</v>
      </c>
      <c r="AJ250" s="76">
        <v>0</v>
      </c>
      <c r="AK250" s="76">
        <v>2</v>
      </c>
      <c r="AL250" s="76" t="b">
        <v>0</v>
      </c>
      <c r="AM250" s="78">
        <v>45173.130416666667</v>
      </c>
      <c r="AN250" s="76"/>
      <c r="AO250" s="76" t="s">
        <v>6894</v>
      </c>
      <c r="AP250" s="83" t="str">
        <f>HYPERLINK("https://t.co/AwkQwej7qs")</f>
        <v>https://t.co/AwkQwej7qs</v>
      </c>
      <c r="AQ250" s="83" t="str">
        <f>HYPERLINK("https://linktr.ee/murilo.satler")</f>
        <v>https://linktr.ee/murilo.satler</v>
      </c>
      <c r="AR250" s="76" t="s">
        <v>7136</v>
      </c>
      <c r="AS250" s="76"/>
      <c r="AT250" s="76"/>
      <c r="AU250" s="76"/>
      <c r="AV250" s="76"/>
      <c r="AW250" s="83" t="str">
        <f>HYPERLINK("https://t.co/AwkQwej7qs")</f>
        <v>https://t.co/AwkQwej7qs</v>
      </c>
      <c r="AX250" s="76" t="b">
        <v>0</v>
      </c>
      <c r="AY250" s="76"/>
      <c r="AZ250" s="76"/>
      <c r="BA250" s="76" t="b">
        <v>0</v>
      </c>
      <c r="BB250" s="76" t="b">
        <v>1</v>
      </c>
      <c r="BC250" s="76" t="b">
        <v>1</v>
      </c>
      <c r="BD250" s="76" t="b">
        <v>0</v>
      </c>
      <c r="BE250" s="76" t="b">
        <v>0</v>
      </c>
      <c r="BF250" s="76" t="b">
        <v>0</v>
      </c>
      <c r="BG250" s="76" t="b">
        <v>0</v>
      </c>
      <c r="BH250" s="83" t="str">
        <f>HYPERLINK("https://pbs.twimg.com/profile_banners/1698533227873423360/1693796997")</f>
        <v>https://pbs.twimg.com/profile_banners/1698533227873423360/1693796997</v>
      </c>
      <c r="BI250" s="76"/>
      <c r="BJ250" s="76" t="s">
        <v>7245</v>
      </c>
      <c r="BK250" s="76" t="b">
        <v>0</v>
      </c>
      <c r="BL250" s="76"/>
      <c r="BM250" s="76" t="s">
        <v>66</v>
      </c>
      <c r="BN250" s="76" t="s">
        <v>7247</v>
      </c>
      <c r="BO250" s="83" t="str">
        <f>HYPERLINK("https://twitter.com/murilo_business")</f>
        <v>https://twitter.com/murilo_business</v>
      </c>
      <c r="BP250" s="2"/>
    </row>
    <row r="251" spans="1:68" x14ac:dyDescent="0.25">
      <c r="A251" s="62" t="s">
        <v>460</v>
      </c>
      <c r="B251" s="63"/>
      <c r="C251" s="63"/>
      <c r="D251" s="64"/>
      <c r="E251" s="66"/>
      <c r="F251" s="102" t="str">
        <f>HYPERLINK("https://pbs.twimg.com/profile_images/1663983306101145616/8YmbU-t7_normal.jpg")</f>
        <v>https://pbs.twimg.com/profile_images/1663983306101145616/8YmbU-t7_normal.jpg</v>
      </c>
      <c r="G251" s="63"/>
      <c r="H251" s="67"/>
      <c r="I251" s="68"/>
      <c r="J251" s="68"/>
      <c r="K251" s="67" t="s">
        <v>7495</v>
      </c>
      <c r="L251" s="71"/>
      <c r="M251" s="72"/>
      <c r="N251" s="72"/>
      <c r="O251" s="73"/>
      <c r="P251" s="74"/>
      <c r="Q251" s="74"/>
      <c r="R251" s="86"/>
      <c r="S251" s="86"/>
      <c r="T251" s="86"/>
      <c r="U251" s="86"/>
      <c r="V251" s="48"/>
      <c r="W251" s="48"/>
      <c r="X251" s="48"/>
      <c r="Y251" s="48"/>
      <c r="Z251" s="47"/>
      <c r="AA251" s="69">
        <v>251</v>
      </c>
      <c r="AB251" s="69"/>
      <c r="AC251" s="70"/>
      <c r="AD251" s="76" t="s">
        <v>6376</v>
      </c>
      <c r="AE251" s="81" t="s">
        <v>5602</v>
      </c>
      <c r="AF251" s="76">
        <v>75</v>
      </c>
      <c r="AG251" s="76">
        <v>176</v>
      </c>
      <c r="AH251" s="76">
        <v>2230</v>
      </c>
      <c r="AI251" s="76">
        <v>3</v>
      </c>
      <c r="AJ251" s="76">
        <v>26</v>
      </c>
      <c r="AK251" s="76">
        <v>1102</v>
      </c>
      <c r="AL251" s="76" t="b">
        <v>0</v>
      </c>
      <c r="AM251" s="78">
        <v>44508.013842592591</v>
      </c>
      <c r="AN251" s="76" t="s">
        <v>6641</v>
      </c>
      <c r="AO251" s="76" t="s">
        <v>6895</v>
      </c>
      <c r="AP251" s="83" t="str">
        <f>HYPERLINK("https://t.co/sVKYR4OK3L")</f>
        <v>https://t.co/sVKYR4OK3L</v>
      </c>
      <c r="AQ251" s="83" t="str">
        <f>HYPERLINK("https://www.youtube.com/c/PenseRicoDicas/videos")</f>
        <v>https://www.youtube.com/c/PenseRicoDicas/videos</v>
      </c>
      <c r="AR251" s="76" t="s">
        <v>7137</v>
      </c>
      <c r="AS251" s="83" t="str">
        <f>HYPERLINK("https://t.co/IQZIX7BLIe")</f>
        <v>https://t.co/IQZIX7BLIe</v>
      </c>
      <c r="AT251" s="83" t="str">
        <f>HYPERLINK("https://youup.me/penserico")</f>
        <v>https://youup.me/penserico</v>
      </c>
      <c r="AU251" s="76" t="s">
        <v>7239</v>
      </c>
      <c r="AV251" s="76"/>
      <c r="AW251" s="83" t="str">
        <f>HYPERLINK("https://t.co/sVKYR4OK3L")</f>
        <v>https://t.co/sVKYR4OK3L</v>
      </c>
      <c r="AX251" s="76" t="b">
        <v>0</v>
      </c>
      <c r="AY251" s="76"/>
      <c r="AZ251" s="76"/>
      <c r="BA251" s="76" t="b">
        <v>0</v>
      </c>
      <c r="BB251" s="76" t="b">
        <v>1</v>
      </c>
      <c r="BC251" s="76" t="b">
        <v>1</v>
      </c>
      <c r="BD251" s="76" t="b">
        <v>0</v>
      </c>
      <c r="BE251" s="76" t="b">
        <v>0</v>
      </c>
      <c r="BF251" s="76" t="b">
        <v>0</v>
      </c>
      <c r="BG251" s="76" t="b">
        <v>0</v>
      </c>
      <c r="BH251" s="83" t="str">
        <f>HYPERLINK("https://pbs.twimg.com/profile_banners/1457503002613403651/1659364372")</f>
        <v>https://pbs.twimg.com/profile_banners/1457503002613403651/1659364372</v>
      </c>
      <c r="BI251" s="76"/>
      <c r="BJ251" s="76" t="s">
        <v>7245</v>
      </c>
      <c r="BK251" s="76" t="b">
        <v>0</v>
      </c>
      <c r="BL251" s="76"/>
      <c r="BM251" s="76" t="s">
        <v>66</v>
      </c>
      <c r="BN251" s="76" t="s">
        <v>7247</v>
      </c>
      <c r="BO251" s="83" t="str">
        <f>HYPERLINK("https://twitter.com/pense_rico")</f>
        <v>https://twitter.com/pense_rico</v>
      </c>
      <c r="BP251" s="2"/>
    </row>
    <row r="252" spans="1:68" x14ac:dyDescent="0.25">
      <c r="A252" s="62" t="s">
        <v>461</v>
      </c>
      <c r="B252" s="63"/>
      <c r="C252" s="63"/>
      <c r="D252" s="64"/>
      <c r="E252" s="66"/>
      <c r="F252" s="102" t="str">
        <f>HYPERLINK("https://pbs.twimg.com/profile_images/1641815269000527876/l4Z8Njig_normal.jpg")</f>
        <v>https://pbs.twimg.com/profile_images/1641815269000527876/l4Z8Njig_normal.jpg</v>
      </c>
      <c r="G252" s="63"/>
      <c r="H252" s="67"/>
      <c r="I252" s="68"/>
      <c r="J252" s="68"/>
      <c r="K252" s="67" t="s">
        <v>7496</v>
      </c>
      <c r="L252" s="71"/>
      <c r="M252" s="72"/>
      <c r="N252" s="72"/>
      <c r="O252" s="73"/>
      <c r="P252" s="74"/>
      <c r="Q252" s="74"/>
      <c r="R252" s="86"/>
      <c r="S252" s="86"/>
      <c r="T252" s="86"/>
      <c r="U252" s="86"/>
      <c r="V252" s="48"/>
      <c r="W252" s="48"/>
      <c r="X252" s="48"/>
      <c r="Y252" s="48"/>
      <c r="Z252" s="47"/>
      <c r="AA252" s="69">
        <v>252</v>
      </c>
      <c r="AB252" s="69"/>
      <c r="AC252" s="70"/>
      <c r="AD252" s="76" t="s">
        <v>6377</v>
      </c>
      <c r="AE252" s="81" t="s">
        <v>6024</v>
      </c>
      <c r="AF252" s="76">
        <v>0</v>
      </c>
      <c r="AG252" s="76">
        <v>0</v>
      </c>
      <c r="AH252" s="76">
        <v>2</v>
      </c>
      <c r="AI252" s="76">
        <v>0</v>
      </c>
      <c r="AJ252" s="76">
        <v>0</v>
      </c>
      <c r="AK252" s="76">
        <v>1</v>
      </c>
      <c r="AL252" s="76" t="b">
        <v>0</v>
      </c>
      <c r="AM252" s="78">
        <v>45016.61513888889</v>
      </c>
      <c r="AN252" s="76" t="s">
        <v>3752</v>
      </c>
      <c r="AO252" s="76" t="s">
        <v>6896</v>
      </c>
      <c r="AP252" s="83" t="str">
        <f>HYPERLINK("https://t.co/4im1sqDK7j")</f>
        <v>https://t.co/4im1sqDK7j</v>
      </c>
      <c r="AQ252" s="83" t="str">
        <f>HYPERLINK("http://instagram.com/patroamiilionaria.br")</f>
        <v>http://instagram.com/patroamiilionaria.br</v>
      </c>
      <c r="AR252" s="76" t="s">
        <v>7138</v>
      </c>
      <c r="AS252" s="76"/>
      <c r="AT252" s="76"/>
      <c r="AU252" s="76"/>
      <c r="AV252" s="76"/>
      <c r="AW252" s="83" t="str">
        <f>HYPERLINK("https://t.co/4im1sqDK7j")</f>
        <v>https://t.co/4im1sqDK7j</v>
      </c>
      <c r="AX252" s="76" t="b">
        <v>0</v>
      </c>
      <c r="AY252" s="76"/>
      <c r="AZ252" s="76"/>
      <c r="BA252" s="76" t="b">
        <v>0</v>
      </c>
      <c r="BB252" s="76" t="b">
        <v>1</v>
      </c>
      <c r="BC252" s="76" t="b">
        <v>1</v>
      </c>
      <c r="BD252" s="76" t="b">
        <v>0</v>
      </c>
      <c r="BE252" s="76" t="b">
        <v>0</v>
      </c>
      <c r="BF252" s="76" t="b">
        <v>0</v>
      </c>
      <c r="BG252" s="76" t="b">
        <v>0</v>
      </c>
      <c r="BH252" s="83" t="str">
        <f>HYPERLINK("https://pbs.twimg.com/profile_banners/1641813863581491201/1680274766")</f>
        <v>https://pbs.twimg.com/profile_banners/1641813863581491201/1680274766</v>
      </c>
      <c r="BI252" s="76"/>
      <c r="BJ252" s="76" t="s">
        <v>7245</v>
      </c>
      <c r="BK252" s="76" t="b">
        <v>0</v>
      </c>
      <c r="BL252" s="76"/>
      <c r="BM252" s="76" t="s">
        <v>66</v>
      </c>
      <c r="BN252" s="76" t="s">
        <v>7247</v>
      </c>
      <c r="BO252" s="83" t="str">
        <f>HYPERLINK("https://twitter.com/milionaria_br")</f>
        <v>https://twitter.com/milionaria_br</v>
      </c>
      <c r="BP252" s="2"/>
    </row>
    <row r="253" spans="1:68" x14ac:dyDescent="0.25">
      <c r="A253" s="62" t="s">
        <v>462</v>
      </c>
      <c r="B253" s="63"/>
      <c r="C253" s="63"/>
      <c r="D253" s="64"/>
      <c r="E253" s="66"/>
      <c r="F253" s="102" t="str">
        <f>HYPERLINK("https://pbs.twimg.com/profile_images/1620361894132436993/PqQrZs8z_normal.jpg")</f>
        <v>https://pbs.twimg.com/profile_images/1620361894132436993/PqQrZs8z_normal.jpg</v>
      </c>
      <c r="G253" s="63"/>
      <c r="H253" s="67"/>
      <c r="I253" s="68"/>
      <c r="J253" s="68"/>
      <c r="K253" s="67" t="s">
        <v>7497</v>
      </c>
      <c r="L253" s="71"/>
      <c r="M253" s="72"/>
      <c r="N253" s="72"/>
      <c r="O253" s="73"/>
      <c r="P253" s="74"/>
      <c r="Q253" s="74"/>
      <c r="R253" s="86"/>
      <c r="S253" s="86"/>
      <c r="T253" s="86"/>
      <c r="U253" s="86"/>
      <c r="V253" s="48"/>
      <c r="W253" s="48"/>
      <c r="X253" s="48"/>
      <c r="Y253" s="48"/>
      <c r="Z253" s="47"/>
      <c r="AA253" s="69">
        <v>253</v>
      </c>
      <c r="AB253" s="69"/>
      <c r="AC253" s="70"/>
      <c r="AD253" s="76" t="s">
        <v>6378</v>
      </c>
      <c r="AE253" s="81" t="s">
        <v>6025</v>
      </c>
      <c r="AF253" s="76">
        <v>0</v>
      </c>
      <c r="AG253" s="76">
        <v>6</v>
      </c>
      <c r="AH253" s="76">
        <v>18</v>
      </c>
      <c r="AI253" s="76">
        <v>0</v>
      </c>
      <c r="AJ253" s="76">
        <v>2</v>
      </c>
      <c r="AK253" s="76">
        <v>16</v>
      </c>
      <c r="AL253" s="76" t="b">
        <v>0</v>
      </c>
      <c r="AM253" s="78">
        <v>44957.411585648151</v>
      </c>
      <c r="AN253" s="76" t="s">
        <v>6642</v>
      </c>
      <c r="AO253" s="76"/>
      <c r="AP253" s="76"/>
      <c r="AQ253" s="76"/>
      <c r="AR253" s="76"/>
      <c r="AS253" s="76"/>
      <c r="AT253" s="76"/>
      <c r="AU253" s="76"/>
      <c r="AV253" s="76"/>
      <c r="AW253" s="76"/>
      <c r="AX253" s="76" t="b">
        <v>0</v>
      </c>
      <c r="AY253" s="76"/>
      <c r="AZ253" s="76"/>
      <c r="BA253" s="76" t="b">
        <v>0</v>
      </c>
      <c r="BB253" s="76" t="b">
        <v>1</v>
      </c>
      <c r="BC253" s="76" t="b">
        <v>1</v>
      </c>
      <c r="BD253" s="76" t="b">
        <v>0</v>
      </c>
      <c r="BE253" s="76" t="b">
        <v>0</v>
      </c>
      <c r="BF253" s="76" t="b">
        <v>0</v>
      </c>
      <c r="BG253" s="76" t="b">
        <v>0</v>
      </c>
      <c r="BH253" s="83" t="str">
        <f>HYPERLINK("https://pbs.twimg.com/profile_banners/1620359246444462080/1675275512")</f>
        <v>https://pbs.twimg.com/profile_banners/1620359246444462080/1675275512</v>
      </c>
      <c r="BI253" s="76"/>
      <c r="BJ253" s="76" t="s">
        <v>7245</v>
      </c>
      <c r="BK253" s="76" t="b">
        <v>0</v>
      </c>
      <c r="BL253" s="76"/>
      <c r="BM253" s="76" t="s">
        <v>66</v>
      </c>
      <c r="BN253" s="76" t="s">
        <v>7247</v>
      </c>
      <c r="BO253" s="83" t="str">
        <f>HYPERLINK("https://twitter.com/shopforyo_u")</f>
        <v>https://twitter.com/shopforyo_u</v>
      </c>
      <c r="BP253" s="2"/>
    </row>
    <row r="254" spans="1:68" x14ac:dyDescent="0.25">
      <c r="A254" s="62" t="s">
        <v>463</v>
      </c>
      <c r="B254" s="63"/>
      <c r="C254" s="63"/>
      <c r="D254" s="64"/>
      <c r="E254" s="66"/>
      <c r="F254" s="102" t="str">
        <f>HYPERLINK("https://pbs.twimg.com/profile_images/290160174/spawn-2_normal.jpg")</f>
        <v>https://pbs.twimg.com/profile_images/290160174/spawn-2_normal.jpg</v>
      </c>
      <c r="G254" s="63"/>
      <c r="H254" s="67"/>
      <c r="I254" s="68"/>
      <c r="J254" s="68"/>
      <c r="K254" s="67" t="s">
        <v>7498</v>
      </c>
      <c r="L254" s="71"/>
      <c r="M254" s="72"/>
      <c r="N254" s="72"/>
      <c r="O254" s="73"/>
      <c r="P254" s="74"/>
      <c r="Q254" s="74"/>
      <c r="R254" s="86"/>
      <c r="S254" s="86"/>
      <c r="T254" s="86"/>
      <c r="U254" s="86"/>
      <c r="V254" s="48"/>
      <c r="W254" s="48"/>
      <c r="X254" s="48"/>
      <c r="Y254" s="48"/>
      <c r="Z254" s="47"/>
      <c r="AA254" s="69">
        <v>254</v>
      </c>
      <c r="AB254" s="69"/>
      <c r="AC254" s="70"/>
      <c r="AD254" s="76" t="s">
        <v>6379</v>
      </c>
      <c r="AE254" s="81" t="s">
        <v>5603</v>
      </c>
      <c r="AF254" s="76">
        <v>35</v>
      </c>
      <c r="AG254" s="76">
        <v>104</v>
      </c>
      <c r="AH254" s="76">
        <v>1323</v>
      </c>
      <c r="AI254" s="76">
        <v>1</v>
      </c>
      <c r="AJ254" s="76">
        <v>676</v>
      </c>
      <c r="AK254" s="76">
        <v>124</v>
      </c>
      <c r="AL254" s="76" t="b">
        <v>0</v>
      </c>
      <c r="AM254" s="78">
        <v>39994.481620370374</v>
      </c>
      <c r="AN254" s="76" t="s">
        <v>6643</v>
      </c>
      <c r="AO254" s="76" t="s">
        <v>6897</v>
      </c>
      <c r="AP254" s="76"/>
      <c r="AQ254" s="76"/>
      <c r="AR254" s="76"/>
      <c r="AS254" s="76"/>
      <c r="AT254" s="76"/>
      <c r="AU254" s="76"/>
      <c r="AV254" s="76">
        <v>1.62654959141489E+18</v>
      </c>
      <c r="AW254" s="76"/>
      <c r="AX254" s="76" t="b">
        <v>0</v>
      </c>
      <c r="AY254" s="76"/>
      <c r="AZ254" s="76"/>
      <c r="BA254" s="76" t="b">
        <v>1</v>
      </c>
      <c r="BB254" s="76" t="b">
        <v>0</v>
      </c>
      <c r="BC254" s="76" t="b">
        <v>0</v>
      </c>
      <c r="BD254" s="76" t="b">
        <v>0</v>
      </c>
      <c r="BE254" s="76" t="b">
        <v>1</v>
      </c>
      <c r="BF254" s="76" t="b">
        <v>0</v>
      </c>
      <c r="BG254" s="76" t="b">
        <v>0</v>
      </c>
      <c r="BH254" s="76"/>
      <c r="BI254" s="76"/>
      <c r="BJ254" s="76" t="s">
        <v>7245</v>
      </c>
      <c r="BK254" s="76" t="b">
        <v>0</v>
      </c>
      <c r="BL254" s="76"/>
      <c r="BM254" s="76" t="s">
        <v>66</v>
      </c>
      <c r="BN254" s="76" t="s">
        <v>7247</v>
      </c>
      <c r="BO254" s="83" t="str">
        <f>HYPERLINK("https://twitter.com/jvaspawn")</f>
        <v>https://twitter.com/jvaspawn</v>
      </c>
      <c r="BP254" s="2"/>
    </row>
    <row r="255" spans="1:68" x14ac:dyDescent="0.25">
      <c r="A255" s="62" t="s">
        <v>464</v>
      </c>
      <c r="B255" s="63"/>
      <c r="C255" s="63"/>
      <c r="D255" s="64"/>
      <c r="E255" s="66"/>
      <c r="F255" s="102" t="str">
        <f>HYPERLINK("https://pbs.twimg.com/profile_images/1642045717416951808/sJx6ZrKb_normal.jpg")</f>
        <v>https://pbs.twimg.com/profile_images/1642045717416951808/sJx6ZrKb_normal.jpg</v>
      </c>
      <c r="G255" s="63"/>
      <c r="H255" s="67"/>
      <c r="I255" s="68"/>
      <c r="J255" s="68"/>
      <c r="K255" s="67" t="s">
        <v>7499</v>
      </c>
      <c r="L255" s="71"/>
      <c r="M255" s="72"/>
      <c r="N255" s="72"/>
      <c r="O255" s="73"/>
      <c r="P255" s="74"/>
      <c r="Q255" s="74"/>
      <c r="R255" s="86"/>
      <c r="S255" s="86"/>
      <c r="T255" s="86"/>
      <c r="U255" s="86"/>
      <c r="V255" s="48"/>
      <c r="W255" s="48"/>
      <c r="X255" s="48"/>
      <c r="Y255" s="48"/>
      <c r="Z255" s="47"/>
      <c r="AA255" s="69">
        <v>255</v>
      </c>
      <c r="AB255" s="69"/>
      <c r="AC255" s="70"/>
      <c r="AD255" s="76" t="s">
        <v>6380</v>
      </c>
      <c r="AE255" s="81" t="s">
        <v>6026</v>
      </c>
      <c r="AF255" s="76">
        <v>5</v>
      </c>
      <c r="AG255" s="76">
        <v>75</v>
      </c>
      <c r="AH255" s="76">
        <v>32</v>
      </c>
      <c r="AI255" s="76">
        <v>0</v>
      </c>
      <c r="AJ255" s="76">
        <v>23</v>
      </c>
      <c r="AK255" s="76">
        <v>2</v>
      </c>
      <c r="AL255" s="76" t="b">
        <v>0</v>
      </c>
      <c r="AM255" s="78">
        <v>44604.091307870367</v>
      </c>
      <c r="AN255" s="76"/>
      <c r="AO255" s="76" t="s">
        <v>6898</v>
      </c>
      <c r="AP255" s="83" t="str">
        <f>HYPERLINK("https://t.co/9eiX3z7Kru")</f>
        <v>https://t.co/9eiX3z7Kru</v>
      </c>
      <c r="AQ255" s="83" t="str">
        <f>HYPERLINK("https://linktr.ee/mentesmillionarias")</f>
        <v>https://linktr.ee/mentesmillionarias</v>
      </c>
      <c r="AR255" s="76" t="s">
        <v>7139</v>
      </c>
      <c r="AS255" s="76"/>
      <c r="AT255" s="76"/>
      <c r="AU255" s="76"/>
      <c r="AV255" s="76">
        <v>1.64241133271566E+18</v>
      </c>
      <c r="AW255" s="83" t="str">
        <f>HYPERLINK("https://t.co/9eiX3z7Kru")</f>
        <v>https://t.co/9eiX3z7Kru</v>
      </c>
      <c r="AX255" s="76" t="b">
        <v>0</v>
      </c>
      <c r="AY255" s="76"/>
      <c r="AZ255" s="76"/>
      <c r="BA255" s="76" t="b">
        <v>1</v>
      </c>
      <c r="BB255" s="76" t="b">
        <v>1</v>
      </c>
      <c r="BC255" s="76" t="b">
        <v>1</v>
      </c>
      <c r="BD255" s="76" t="b">
        <v>0</v>
      </c>
      <c r="BE255" s="76" t="b">
        <v>0</v>
      </c>
      <c r="BF255" s="76" t="b">
        <v>0</v>
      </c>
      <c r="BG255" s="76" t="b">
        <v>0</v>
      </c>
      <c r="BH255" s="83" t="str">
        <f>HYPERLINK("https://pbs.twimg.com/profile_banners/1492320278474637315/1680331396")</f>
        <v>https://pbs.twimg.com/profile_banners/1492320278474637315/1680331396</v>
      </c>
      <c r="BI255" s="76"/>
      <c r="BJ255" s="76" t="s">
        <v>7245</v>
      </c>
      <c r="BK255" s="76" t="b">
        <v>0</v>
      </c>
      <c r="BL255" s="76"/>
      <c r="BM255" s="76" t="s">
        <v>66</v>
      </c>
      <c r="BN255" s="76" t="s">
        <v>7247</v>
      </c>
      <c r="BO255" s="83" t="str">
        <f>HYPERLINK("https://twitter.com/rauf_rafael")</f>
        <v>https://twitter.com/rauf_rafael</v>
      </c>
      <c r="BP255" s="2"/>
    </row>
    <row r="256" spans="1:68" x14ac:dyDescent="0.25">
      <c r="A256" s="62" t="s">
        <v>465</v>
      </c>
      <c r="B256" s="63"/>
      <c r="C256" s="63"/>
      <c r="D256" s="64"/>
      <c r="E256" s="66"/>
      <c r="F256" s="102" t="str">
        <f>HYPERLINK("https://pbs.twimg.com/profile_images/1612120946566889472/XjsWTFQY_normal.jpg")</f>
        <v>https://pbs.twimg.com/profile_images/1612120946566889472/XjsWTFQY_normal.jpg</v>
      </c>
      <c r="G256" s="63"/>
      <c r="H256" s="67"/>
      <c r="I256" s="68"/>
      <c r="J256" s="68"/>
      <c r="K256" s="67" t="s">
        <v>7500</v>
      </c>
      <c r="L256" s="71"/>
      <c r="M256" s="72"/>
      <c r="N256" s="72"/>
      <c r="O256" s="73"/>
      <c r="P256" s="74"/>
      <c r="Q256" s="74"/>
      <c r="R256" s="86"/>
      <c r="S256" s="86"/>
      <c r="T256" s="86"/>
      <c r="U256" s="86"/>
      <c r="V256" s="48"/>
      <c r="W256" s="48"/>
      <c r="X256" s="48"/>
      <c r="Y256" s="48"/>
      <c r="Z256" s="47"/>
      <c r="AA256" s="69">
        <v>256</v>
      </c>
      <c r="AB256" s="69"/>
      <c r="AC256" s="70"/>
      <c r="AD256" s="76" t="s">
        <v>6381</v>
      </c>
      <c r="AE256" s="81" t="s">
        <v>6027</v>
      </c>
      <c r="AF256" s="76">
        <v>1</v>
      </c>
      <c r="AG256" s="76">
        <v>5</v>
      </c>
      <c r="AH256" s="76">
        <v>12</v>
      </c>
      <c r="AI256" s="76">
        <v>0</v>
      </c>
      <c r="AJ256" s="76">
        <v>2</v>
      </c>
      <c r="AK256" s="76">
        <v>12</v>
      </c>
      <c r="AL256" s="76" t="b">
        <v>0</v>
      </c>
      <c r="AM256" s="78">
        <v>44778.6715625</v>
      </c>
      <c r="AN256" s="76"/>
      <c r="AO256" s="76" t="s">
        <v>6899</v>
      </c>
      <c r="AP256" s="76"/>
      <c r="AQ256" s="76"/>
      <c r="AR256" s="76"/>
      <c r="AS256" s="76"/>
      <c r="AT256" s="76"/>
      <c r="AU256" s="76"/>
      <c r="AV256" s="76"/>
      <c r="AW256" s="76"/>
      <c r="AX256" s="76" t="b">
        <v>0</v>
      </c>
      <c r="AY256" s="76"/>
      <c r="AZ256" s="76"/>
      <c r="BA256" s="76" t="b">
        <v>0</v>
      </c>
      <c r="BB256" s="76" t="b">
        <v>1</v>
      </c>
      <c r="BC256" s="76" t="b">
        <v>1</v>
      </c>
      <c r="BD256" s="76" t="b">
        <v>0</v>
      </c>
      <c r="BE256" s="76" t="b">
        <v>0</v>
      </c>
      <c r="BF256" s="76" t="b">
        <v>0</v>
      </c>
      <c r="BG256" s="76" t="b">
        <v>0</v>
      </c>
      <c r="BH256" s="76"/>
      <c r="BI256" s="76"/>
      <c r="BJ256" s="76" t="s">
        <v>7245</v>
      </c>
      <c r="BK256" s="76" t="b">
        <v>0</v>
      </c>
      <c r="BL256" s="76"/>
      <c r="BM256" s="76" t="s">
        <v>66</v>
      </c>
      <c r="BN256" s="76" t="s">
        <v>7247</v>
      </c>
      <c r="BO256" s="83" t="str">
        <f>HYPERLINK("https://twitter.com/abelsil83615535")</f>
        <v>https://twitter.com/abelsil83615535</v>
      </c>
      <c r="BP256" s="2"/>
    </row>
    <row r="257" spans="1:68" x14ac:dyDescent="0.25">
      <c r="A257" s="62" t="s">
        <v>466</v>
      </c>
      <c r="B257" s="63"/>
      <c r="C257" s="63"/>
      <c r="D257" s="64"/>
      <c r="E257" s="66"/>
      <c r="F257" s="102" t="str">
        <f>HYPERLINK("https://pbs.twimg.com/profile_images/1689342973111123968/UFQJIfzL_normal.jpg")</f>
        <v>https://pbs.twimg.com/profile_images/1689342973111123968/UFQJIfzL_normal.jpg</v>
      </c>
      <c r="G257" s="63"/>
      <c r="H257" s="67"/>
      <c r="I257" s="68"/>
      <c r="J257" s="68"/>
      <c r="K257" s="67" t="s">
        <v>7501</v>
      </c>
      <c r="L257" s="71"/>
      <c r="M257" s="72"/>
      <c r="N257" s="72"/>
      <c r="O257" s="73"/>
      <c r="P257" s="74"/>
      <c r="Q257" s="74"/>
      <c r="R257" s="86"/>
      <c r="S257" s="86"/>
      <c r="T257" s="86"/>
      <c r="U257" s="86"/>
      <c r="V257" s="48"/>
      <c r="W257" s="48"/>
      <c r="X257" s="48"/>
      <c r="Y257" s="48"/>
      <c r="Z257" s="47"/>
      <c r="AA257" s="69">
        <v>257</v>
      </c>
      <c r="AB257" s="69"/>
      <c r="AC257" s="70"/>
      <c r="AD257" s="76" t="s">
        <v>6382</v>
      </c>
      <c r="AE257" s="81" t="s">
        <v>5604</v>
      </c>
      <c r="AF257" s="76">
        <v>291</v>
      </c>
      <c r="AG257" s="76">
        <v>1701</v>
      </c>
      <c r="AH257" s="76">
        <v>5242</v>
      </c>
      <c r="AI257" s="76">
        <v>8</v>
      </c>
      <c r="AJ257" s="76">
        <v>8911</v>
      </c>
      <c r="AK257" s="76">
        <v>306</v>
      </c>
      <c r="AL257" s="76" t="b">
        <v>0</v>
      </c>
      <c r="AM257" s="78">
        <v>41721.651736111111</v>
      </c>
      <c r="AN257" s="76"/>
      <c r="AO257" s="76"/>
      <c r="AP257" s="76"/>
      <c r="AQ257" s="76"/>
      <c r="AR257" s="76"/>
      <c r="AS257" s="76"/>
      <c r="AT257" s="76"/>
      <c r="AU257" s="76"/>
      <c r="AV257" s="76">
        <v>1.70378807925586E+18</v>
      </c>
      <c r="AW257" s="76"/>
      <c r="AX257" s="76" t="b">
        <v>0</v>
      </c>
      <c r="AY257" s="76"/>
      <c r="AZ257" s="76"/>
      <c r="BA257" s="76" t="b">
        <v>1</v>
      </c>
      <c r="BB257" s="76" t="b">
        <v>1</v>
      </c>
      <c r="BC257" s="76" t="b">
        <v>0</v>
      </c>
      <c r="BD257" s="76" t="b">
        <v>0</v>
      </c>
      <c r="BE257" s="76" t="b">
        <v>1</v>
      </c>
      <c r="BF257" s="76" t="b">
        <v>0</v>
      </c>
      <c r="BG257" s="76" t="b">
        <v>0</v>
      </c>
      <c r="BH257" s="83" t="str">
        <f>HYPERLINK("https://pbs.twimg.com/profile_banners/2431264463/1695084156")</f>
        <v>https://pbs.twimg.com/profile_banners/2431264463/1695084156</v>
      </c>
      <c r="BI257" s="76"/>
      <c r="BJ257" s="76" t="s">
        <v>7245</v>
      </c>
      <c r="BK257" s="76" t="b">
        <v>0</v>
      </c>
      <c r="BL257" s="76"/>
      <c r="BM257" s="76" t="s">
        <v>66</v>
      </c>
      <c r="BN257" s="76" t="s">
        <v>7247</v>
      </c>
      <c r="BO257" s="83" t="str">
        <f>HYPERLINK("https://twitter.com/doloresampaio")</f>
        <v>https://twitter.com/doloresampaio</v>
      </c>
      <c r="BP257" s="2"/>
    </row>
    <row r="258" spans="1:68" x14ac:dyDescent="0.25">
      <c r="A258" s="62" t="s">
        <v>467</v>
      </c>
      <c r="B258" s="63"/>
      <c r="C258" s="63"/>
      <c r="D258" s="64"/>
      <c r="E258" s="66"/>
      <c r="F258" s="102" t="str">
        <f>HYPERLINK("https://pbs.twimg.com/profile_images/1615416518052925441/yPS4DZXz_normal.jpg")</f>
        <v>https://pbs.twimg.com/profile_images/1615416518052925441/yPS4DZXz_normal.jpg</v>
      </c>
      <c r="G258" s="63"/>
      <c r="H258" s="67"/>
      <c r="I258" s="68"/>
      <c r="J258" s="68"/>
      <c r="K258" s="67" t="s">
        <v>7502</v>
      </c>
      <c r="L258" s="71"/>
      <c r="M258" s="72"/>
      <c r="N258" s="72"/>
      <c r="O258" s="73"/>
      <c r="P258" s="74"/>
      <c r="Q258" s="74"/>
      <c r="R258" s="86"/>
      <c r="S258" s="86"/>
      <c r="T258" s="86"/>
      <c r="U258" s="86"/>
      <c r="V258" s="48"/>
      <c r="W258" s="48"/>
      <c r="X258" s="48"/>
      <c r="Y258" s="48"/>
      <c r="Z258" s="47"/>
      <c r="AA258" s="69">
        <v>258</v>
      </c>
      <c r="AB258" s="69"/>
      <c r="AC258" s="70"/>
      <c r="AD258" s="76" t="s">
        <v>467</v>
      </c>
      <c r="AE258" s="81" t="s">
        <v>6028</v>
      </c>
      <c r="AF258" s="76">
        <v>5</v>
      </c>
      <c r="AG258" s="76">
        <v>5</v>
      </c>
      <c r="AH258" s="76">
        <v>27</v>
      </c>
      <c r="AI258" s="76">
        <v>0</v>
      </c>
      <c r="AJ258" s="76">
        <v>17</v>
      </c>
      <c r="AK258" s="76">
        <v>23</v>
      </c>
      <c r="AL258" s="76" t="b">
        <v>0</v>
      </c>
      <c r="AM258" s="78">
        <v>44694.050057870372</v>
      </c>
      <c r="AN258" s="76"/>
      <c r="AO258" s="76" t="s">
        <v>6900</v>
      </c>
      <c r="AP258" s="76"/>
      <c r="AQ258" s="76"/>
      <c r="AR258" s="76"/>
      <c r="AS258" s="76"/>
      <c r="AT258" s="76"/>
      <c r="AU258" s="76"/>
      <c r="AV258" s="76"/>
      <c r="AW258" s="76"/>
      <c r="AX258" s="76" t="b">
        <v>0</v>
      </c>
      <c r="AY258" s="76"/>
      <c r="AZ258" s="76"/>
      <c r="BA258" s="76" t="b">
        <v>0</v>
      </c>
      <c r="BB258" s="76" t="b">
        <v>0</v>
      </c>
      <c r="BC258" s="76" t="b">
        <v>1</v>
      </c>
      <c r="BD258" s="76" t="b">
        <v>0</v>
      </c>
      <c r="BE258" s="76" t="b">
        <v>0</v>
      </c>
      <c r="BF258" s="76" t="b">
        <v>0</v>
      </c>
      <c r="BG258" s="76" t="b">
        <v>0</v>
      </c>
      <c r="BH258" s="83" t="str">
        <f>HYPERLINK("https://pbs.twimg.com/profile_banners/1524920320037199872/1673980315")</f>
        <v>https://pbs.twimg.com/profile_banners/1524920320037199872/1673980315</v>
      </c>
      <c r="BI258" s="76"/>
      <c r="BJ258" s="76" t="s">
        <v>7245</v>
      </c>
      <c r="BK258" s="76" t="b">
        <v>0</v>
      </c>
      <c r="BL258" s="76"/>
      <c r="BM258" s="76" t="s">
        <v>66</v>
      </c>
      <c r="BN258" s="76" t="s">
        <v>7247</v>
      </c>
      <c r="BO258" s="83" t="str">
        <f>HYPERLINK("https://twitter.com/shelby_alpha__")</f>
        <v>https://twitter.com/shelby_alpha__</v>
      </c>
      <c r="BP258" s="2"/>
    </row>
    <row r="259" spans="1:68" x14ac:dyDescent="0.25">
      <c r="A259" s="62" t="s">
        <v>468</v>
      </c>
      <c r="B259" s="63"/>
      <c r="C259" s="63"/>
      <c r="D259" s="64"/>
      <c r="E259" s="66"/>
      <c r="F259" s="102" t="str">
        <f>HYPERLINK("https://pbs.twimg.com/profile_images/1653548839536607232/Q6JvtZkq_normal.jpg")</f>
        <v>https://pbs.twimg.com/profile_images/1653548839536607232/Q6JvtZkq_normal.jpg</v>
      </c>
      <c r="G259" s="63"/>
      <c r="H259" s="67"/>
      <c r="I259" s="68"/>
      <c r="J259" s="68"/>
      <c r="K259" s="67" t="s">
        <v>7503</v>
      </c>
      <c r="L259" s="71"/>
      <c r="M259" s="72"/>
      <c r="N259" s="72"/>
      <c r="O259" s="73"/>
      <c r="P259" s="74"/>
      <c r="Q259" s="74"/>
      <c r="R259" s="86"/>
      <c r="S259" s="86"/>
      <c r="T259" s="86"/>
      <c r="U259" s="86"/>
      <c r="V259" s="48"/>
      <c r="W259" s="48"/>
      <c r="X259" s="48"/>
      <c r="Y259" s="48"/>
      <c r="Z259" s="47"/>
      <c r="AA259" s="69">
        <v>259</v>
      </c>
      <c r="AB259" s="69"/>
      <c r="AC259" s="70"/>
      <c r="AD259" s="76" t="s">
        <v>6383</v>
      </c>
      <c r="AE259" s="81" t="s">
        <v>6029</v>
      </c>
      <c r="AF259" s="76">
        <v>14</v>
      </c>
      <c r="AG259" s="76">
        <v>333</v>
      </c>
      <c r="AH259" s="76">
        <v>52</v>
      </c>
      <c r="AI259" s="76">
        <v>10</v>
      </c>
      <c r="AJ259" s="76">
        <v>90</v>
      </c>
      <c r="AK259" s="76">
        <v>5</v>
      </c>
      <c r="AL259" s="76" t="b">
        <v>0</v>
      </c>
      <c r="AM259" s="78">
        <v>44444.466122685182</v>
      </c>
      <c r="AN259" s="76"/>
      <c r="AO259" s="76" t="s">
        <v>6901</v>
      </c>
      <c r="AP259" s="76"/>
      <c r="AQ259" s="76"/>
      <c r="AR259" s="76"/>
      <c r="AS259" s="76"/>
      <c r="AT259" s="76"/>
      <c r="AU259" s="76"/>
      <c r="AV259" s="76"/>
      <c r="AW259" s="76"/>
      <c r="AX259" s="76" t="b">
        <v>0</v>
      </c>
      <c r="AY259" s="76"/>
      <c r="AZ259" s="76"/>
      <c r="BA259" s="76" t="b">
        <v>0</v>
      </c>
      <c r="BB259" s="76" t="b">
        <v>1</v>
      </c>
      <c r="BC259" s="76" t="b">
        <v>1</v>
      </c>
      <c r="BD259" s="76" t="b">
        <v>0</v>
      </c>
      <c r="BE259" s="76" t="b">
        <v>0</v>
      </c>
      <c r="BF259" s="76" t="b">
        <v>0</v>
      </c>
      <c r="BG259" s="76" t="b">
        <v>0</v>
      </c>
      <c r="BH259" s="83" t="str">
        <f>HYPERLINK("https://pbs.twimg.com/profile_banners/1434474102094454791/1683071871")</f>
        <v>https://pbs.twimg.com/profile_banners/1434474102094454791/1683071871</v>
      </c>
      <c r="BI259" s="76"/>
      <c r="BJ259" s="76" t="s">
        <v>7245</v>
      </c>
      <c r="BK259" s="76" t="b">
        <v>0</v>
      </c>
      <c r="BL259" s="76"/>
      <c r="BM259" s="76" t="s">
        <v>66</v>
      </c>
      <c r="BN259" s="76" t="s">
        <v>7247</v>
      </c>
      <c r="BO259" s="83" t="str">
        <f>HYPERLINK("https://twitter.com/wcost97")</f>
        <v>https://twitter.com/wcost97</v>
      </c>
      <c r="BP259" s="2"/>
    </row>
    <row r="260" spans="1:68" x14ac:dyDescent="0.25">
      <c r="A260" s="62" t="s">
        <v>469</v>
      </c>
      <c r="B260" s="63"/>
      <c r="C260" s="63"/>
      <c r="D260" s="64"/>
      <c r="E260" s="66"/>
      <c r="F260" s="102" t="str">
        <f>HYPERLINK("https://pbs.twimg.com/profile_images/1699868362833108992/9GAADvnM_normal.jpg")</f>
        <v>https://pbs.twimg.com/profile_images/1699868362833108992/9GAADvnM_normal.jpg</v>
      </c>
      <c r="G260" s="63"/>
      <c r="H260" s="67"/>
      <c r="I260" s="68"/>
      <c r="J260" s="68"/>
      <c r="K260" s="67" t="s">
        <v>7504</v>
      </c>
      <c r="L260" s="71"/>
      <c r="M260" s="72"/>
      <c r="N260" s="72"/>
      <c r="O260" s="73"/>
      <c r="P260" s="74"/>
      <c r="Q260" s="74"/>
      <c r="R260" s="86"/>
      <c r="S260" s="86"/>
      <c r="T260" s="86"/>
      <c r="U260" s="86"/>
      <c r="V260" s="48"/>
      <c r="W260" s="48"/>
      <c r="X260" s="48"/>
      <c r="Y260" s="48"/>
      <c r="Z260" s="47"/>
      <c r="AA260" s="69">
        <v>260</v>
      </c>
      <c r="AB260" s="69"/>
      <c r="AC260" s="70"/>
      <c r="AD260" s="76" t="s">
        <v>6384</v>
      </c>
      <c r="AE260" s="81" t="s">
        <v>6531</v>
      </c>
      <c r="AF260" s="76">
        <v>3</v>
      </c>
      <c r="AG260" s="76">
        <v>140</v>
      </c>
      <c r="AH260" s="76">
        <v>11</v>
      </c>
      <c r="AI260" s="76">
        <v>3</v>
      </c>
      <c r="AJ260" s="76">
        <v>462</v>
      </c>
      <c r="AK260" s="76">
        <v>0</v>
      </c>
      <c r="AL260" s="76" t="b">
        <v>0</v>
      </c>
      <c r="AM260" s="78">
        <v>41667.930219907408</v>
      </c>
      <c r="AN260" s="76" t="s">
        <v>3752</v>
      </c>
      <c r="AO260" s="76" t="s">
        <v>6902</v>
      </c>
      <c r="AP260" s="76"/>
      <c r="AQ260" s="76"/>
      <c r="AR260" s="76"/>
      <c r="AS260" s="76"/>
      <c r="AT260" s="76"/>
      <c r="AU260" s="76"/>
      <c r="AV260" s="76"/>
      <c r="AW260" s="76"/>
      <c r="AX260" s="76" t="b">
        <v>0</v>
      </c>
      <c r="AY260" s="76"/>
      <c r="AZ260" s="76"/>
      <c r="BA260" s="76" t="b">
        <v>1</v>
      </c>
      <c r="BB260" s="76" t="b">
        <v>0</v>
      </c>
      <c r="BC260" s="76" t="b">
        <v>0</v>
      </c>
      <c r="BD260" s="76" t="b">
        <v>0</v>
      </c>
      <c r="BE260" s="76" t="b">
        <v>1</v>
      </c>
      <c r="BF260" s="76" t="b">
        <v>0</v>
      </c>
      <c r="BG260" s="76" t="b">
        <v>0</v>
      </c>
      <c r="BH260" s="83" t="str">
        <f>HYPERLINK("https://pbs.twimg.com/profile_banners/2316131874/1685015966")</f>
        <v>https://pbs.twimg.com/profile_banners/2316131874/1685015966</v>
      </c>
      <c r="BI260" s="76"/>
      <c r="BJ260" s="76" t="s">
        <v>7245</v>
      </c>
      <c r="BK260" s="76" t="b">
        <v>0</v>
      </c>
      <c r="BL260" s="76"/>
      <c r="BM260" s="76" t="s">
        <v>66</v>
      </c>
      <c r="BN260" s="76" t="s">
        <v>7247</v>
      </c>
      <c r="BO260" s="83" t="str">
        <f>HYPERLINK("https://twitter.com/oadrielcardoso")</f>
        <v>https://twitter.com/oadrielcardoso</v>
      </c>
      <c r="BP260" s="2"/>
    </row>
    <row r="261" spans="1:68" x14ac:dyDescent="0.25">
      <c r="A261" s="62" t="s">
        <v>470</v>
      </c>
      <c r="B261" s="63"/>
      <c r="C261" s="63"/>
      <c r="D261" s="64"/>
      <c r="E261" s="66"/>
      <c r="F261" s="102" t="str">
        <f>HYPERLINK("https://pbs.twimg.com/profile_images/1328359603839651840/EVTST67L_normal.jpg")</f>
        <v>https://pbs.twimg.com/profile_images/1328359603839651840/EVTST67L_normal.jpg</v>
      </c>
      <c r="G261" s="63"/>
      <c r="H261" s="67"/>
      <c r="I261" s="68"/>
      <c r="J261" s="68"/>
      <c r="K261" s="67" t="s">
        <v>7505</v>
      </c>
      <c r="L261" s="71"/>
      <c r="M261" s="72"/>
      <c r="N261" s="72"/>
      <c r="O261" s="73"/>
      <c r="P261" s="74"/>
      <c r="Q261" s="74"/>
      <c r="R261" s="86"/>
      <c r="S261" s="86"/>
      <c r="T261" s="86"/>
      <c r="U261" s="86"/>
      <c r="V261" s="48"/>
      <c r="W261" s="48"/>
      <c r="X261" s="48"/>
      <c r="Y261" s="48"/>
      <c r="Z261" s="47"/>
      <c r="AA261" s="69">
        <v>261</v>
      </c>
      <c r="AB261" s="69"/>
      <c r="AC261" s="70"/>
      <c r="AD261" s="76" t="s">
        <v>6385</v>
      </c>
      <c r="AE261" s="81" t="s">
        <v>6030</v>
      </c>
      <c r="AF261" s="76">
        <v>191</v>
      </c>
      <c r="AG261" s="76">
        <v>7</v>
      </c>
      <c r="AH261" s="76">
        <v>37284</v>
      </c>
      <c r="AI261" s="76">
        <v>0</v>
      </c>
      <c r="AJ261" s="76">
        <v>25097</v>
      </c>
      <c r="AK261" s="76">
        <v>655</v>
      </c>
      <c r="AL261" s="76" t="b">
        <v>0</v>
      </c>
      <c r="AM261" s="78">
        <v>43675.024062500001</v>
      </c>
      <c r="AN261" s="76" t="s">
        <v>6644</v>
      </c>
      <c r="AO261" s="76" t="s">
        <v>6903</v>
      </c>
      <c r="AP261" s="83" t="str">
        <f>HYPERLINK("https://t.co/E8247H2NDa")</f>
        <v>https://t.co/E8247H2NDa</v>
      </c>
      <c r="AQ261" s="83" t="str">
        <f>HYPERLINK("https://comoempreenderonline.com.br/")</f>
        <v>https://comoempreenderonline.com.br/</v>
      </c>
      <c r="AR261" s="76" t="s">
        <v>7140</v>
      </c>
      <c r="AS261" s="76"/>
      <c r="AT261" s="76"/>
      <c r="AU261" s="76"/>
      <c r="AV261" s="76"/>
      <c r="AW261" s="83" t="str">
        <f>HYPERLINK("https://t.co/E8247H2NDa")</f>
        <v>https://t.co/E8247H2NDa</v>
      </c>
      <c r="AX261" s="76" t="b">
        <v>0</v>
      </c>
      <c r="AY261" s="76"/>
      <c r="AZ261" s="76"/>
      <c r="BA261" s="76" t="b">
        <v>0</v>
      </c>
      <c r="BB261" s="76" t="b">
        <v>1</v>
      </c>
      <c r="BC261" s="76" t="b">
        <v>1</v>
      </c>
      <c r="BD261" s="76" t="b">
        <v>0</v>
      </c>
      <c r="BE261" s="76" t="b">
        <v>0</v>
      </c>
      <c r="BF261" s="76" t="b">
        <v>0</v>
      </c>
      <c r="BG261" s="76" t="b">
        <v>0</v>
      </c>
      <c r="BH261" s="83" t="str">
        <f>HYPERLINK("https://pbs.twimg.com/profile_banners/1155637726433165312/1567550336")</f>
        <v>https://pbs.twimg.com/profile_banners/1155637726433165312/1567550336</v>
      </c>
      <c r="BI261" s="76"/>
      <c r="BJ261" s="76" t="s">
        <v>7245</v>
      </c>
      <c r="BK261" s="76" t="b">
        <v>0</v>
      </c>
      <c r="BL261" s="76"/>
      <c r="BM261" s="76" t="s">
        <v>66</v>
      </c>
      <c r="BN261" s="76" t="s">
        <v>7247</v>
      </c>
      <c r="BO261" s="83" t="str">
        <f>HYPERLINK("https://twitter.com/leocarvalho_mkt")</f>
        <v>https://twitter.com/leocarvalho_mkt</v>
      </c>
      <c r="BP261" s="2"/>
    </row>
    <row r="262" spans="1:68" x14ac:dyDescent="0.25">
      <c r="A262" s="62" t="s">
        <v>471</v>
      </c>
      <c r="B262" s="63"/>
      <c r="C262" s="63"/>
      <c r="D262" s="64"/>
      <c r="E262" s="66"/>
      <c r="F262" s="102" t="str">
        <f>HYPERLINK("https://pbs.twimg.com/profile_images/1646756314620608512/_2Kf1PVV_normal.jpg")</f>
        <v>https://pbs.twimg.com/profile_images/1646756314620608512/_2Kf1PVV_normal.jpg</v>
      </c>
      <c r="G262" s="63"/>
      <c r="H262" s="67"/>
      <c r="I262" s="68"/>
      <c r="J262" s="68"/>
      <c r="K262" s="67" t="s">
        <v>7506</v>
      </c>
      <c r="L262" s="71"/>
      <c r="M262" s="72"/>
      <c r="N262" s="72"/>
      <c r="O262" s="73"/>
      <c r="P262" s="74"/>
      <c r="Q262" s="74"/>
      <c r="R262" s="86"/>
      <c r="S262" s="86"/>
      <c r="T262" s="86"/>
      <c r="U262" s="86"/>
      <c r="V262" s="48"/>
      <c r="W262" s="48"/>
      <c r="X262" s="48"/>
      <c r="Y262" s="48"/>
      <c r="Z262" s="47"/>
      <c r="AA262" s="69">
        <v>262</v>
      </c>
      <c r="AB262" s="69"/>
      <c r="AC262" s="70"/>
      <c r="AD262" s="76" t="s">
        <v>6386</v>
      </c>
      <c r="AE262" s="81" t="s">
        <v>6031</v>
      </c>
      <c r="AF262" s="76">
        <v>140</v>
      </c>
      <c r="AG262" s="76">
        <v>384</v>
      </c>
      <c r="AH262" s="76">
        <v>223</v>
      </c>
      <c r="AI262" s="76">
        <v>1</v>
      </c>
      <c r="AJ262" s="76">
        <v>1068</v>
      </c>
      <c r="AK262" s="76">
        <v>27</v>
      </c>
      <c r="AL262" s="76" t="b">
        <v>0</v>
      </c>
      <c r="AM262" s="78">
        <v>44946.421458333331</v>
      </c>
      <c r="AN262" s="76" t="s">
        <v>6645</v>
      </c>
      <c r="AO262" s="76" t="s">
        <v>6904</v>
      </c>
      <c r="AP262" s="83" t="str">
        <f>HYPERLINK("https://t.co/uq4wLsjgwe")</f>
        <v>https://t.co/uq4wLsjgwe</v>
      </c>
      <c r="AQ262" s="83" t="str">
        <f>HYPERLINK("https://freelancerproof.blogspot.com")</f>
        <v>https://freelancerproof.blogspot.com</v>
      </c>
      <c r="AR262" s="76" t="s">
        <v>7141</v>
      </c>
      <c r="AS262" s="76"/>
      <c r="AT262" s="76"/>
      <c r="AU262" s="76"/>
      <c r="AV262" s="76"/>
      <c r="AW262" s="83" t="str">
        <f>HYPERLINK("https://t.co/uq4wLsjgwe")</f>
        <v>https://t.co/uq4wLsjgwe</v>
      </c>
      <c r="AX262" s="76" t="b">
        <v>0</v>
      </c>
      <c r="AY262" s="76"/>
      <c r="AZ262" s="76"/>
      <c r="BA262" s="76" t="b">
        <v>1</v>
      </c>
      <c r="BB262" s="76" t="b">
        <v>1</v>
      </c>
      <c r="BC262" s="76" t="b">
        <v>1</v>
      </c>
      <c r="BD262" s="76" t="b">
        <v>0</v>
      </c>
      <c r="BE262" s="76" t="b">
        <v>0</v>
      </c>
      <c r="BF262" s="76" t="b">
        <v>0</v>
      </c>
      <c r="BG262" s="76" t="b">
        <v>0</v>
      </c>
      <c r="BH262" s="83" t="str">
        <f>HYPERLINK("https://pbs.twimg.com/profile_banners/1616376531130908674/1674826489")</f>
        <v>https://pbs.twimg.com/profile_banners/1616376531130908674/1674826489</v>
      </c>
      <c r="BI262" s="76"/>
      <c r="BJ262" s="76" t="s">
        <v>7245</v>
      </c>
      <c r="BK262" s="76" t="b">
        <v>0</v>
      </c>
      <c r="BL262" s="76"/>
      <c r="BM262" s="76" t="s">
        <v>66</v>
      </c>
      <c r="BN262" s="76" t="s">
        <v>7247</v>
      </c>
      <c r="BO262" s="83" t="str">
        <f>HYPERLINK("https://twitter.com/financer_ibraim")</f>
        <v>https://twitter.com/financer_ibraim</v>
      </c>
      <c r="BP262" s="2"/>
    </row>
    <row r="263" spans="1:68" x14ac:dyDescent="0.25">
      <c r="A263" s="62" t="s">
        <v>472</v>
      </c>
      <c r="B263" s="63"/>
      <c r="C263" s="63"/>
      <c r="D263" s="64"/>
      <c r="E263" s="66"/>
      <c r="F263" s="102" t="str">
        <f>HYPERLINK("https://pbs.twimg.com/profile_images/1617447990616104962/AQ9WknoA_normal.jpg")</f>
        <v>https://pbs.twimg.com/profile_images/1617447990616104962/AQ9WknoA_normal.jpg</v>
      </c>
      <c r="G263" s="63"/>
      <c r="H263" s="67"/>
      <c r="I263" s="68"/>
      <c r="J263" s="68"/>
      <c r="K263" s="67" t="s">
        <v>7507</v>
      </c>
      <c r="L263" s="71"/>
      <c r="M263" s="72"/>
      <c r="N263" s="72"/>
      <c r="O263" s="73"/>
      <c r="P263" s="74"/>
      <c r="Q263" s="74"/>
      <c r="R263" s="86"/>
      <c r="S263" s="86"/>
      <c r="T263" s="86"/>
      <c r="U263" s="86"/>
      <c r="V263" s="48"/>
      <c r="W263" s="48"/>
      <c r="X263" s="48"/>
      <c r="Y263" s="48"/>
      <c r="Z263" s="47"/>
      <c r="AA263" s="69">
        <v>263</v>
      </c>
      <c r="AB263" s="69"/>
      <c r="AC263" s="70"/>
      <c r="AD263" s="76" t="s">
        <v>472</v>
      </c>
      <c r="AE263" s="81" t="s">
        <v>6032</v>
      </c>
      <c r="AF263" s="76">
        <v>0</v>
      </c>
      <c r="AG263" s="76">
        <v>14</v>
      </c>
      <c r="AH263" s="76">
        <v>5</v>
      </c>
      <c r="AI263" s="76">
        <v>1</v>
      </c>
      <c r="AJ263" s="76">
        <v>0</v>
      </c>
      <c r="AK263" s="76">
        <v>1</v>
      </c>
      <c r="AL263" s="76" t="b">
        <v>0</v>
      </c>
      <c r="AM263" s="78">
        <v>44948.982129629629</v>
      </c>
      <c r="AN263" s="76"/>
      <c r="AO263" s="76" t="s">
        <v>6905</v>
      </c>
      <c r="AP263" s="76"/>
      <c r="AQ263" s="76"/>
      <c r="AR263" s="76"/>
      <c r="AS263" s="76"/>
      <c r="AT263" s="76"/>
      <c r="AU263" s="76"/>
      <c r="AV263" s="76"/>
      <c r="AW263" s="76"/>
      <c r="AX263" s="76" t="b">
        <v>0</v>
      </c>
      <c r="AY263" s="76"/>
      <c r="AZ263" s="76"/>
      <c r="BA263" s="76" t="b">
        <v>0</v>
      </c>
      <c r="BB263" s="76" t="b">
        <v>1</v>
      </c>
      <c r="BC263" s="76" t="b">
        <v>1</v>
      </c>
      <c r="BD263" s="76" t="b">
        <v>0</v>
      </c>
      <c r="BE263" s="76" t="b">
        <v>0</v>
      </c>
      <c r="BF263" s="76" t="b">
        <v>0</v>
      </c>
      <c r="BG263" s="76" t="b">
        <v>0</v>
      </c>
      <c r="BH263" s="76"/>
      <c r="BI263" s="76"/>
      <c r="BJ263" s="76" t="s">
        <v>7245</v>
      </c>
      <c r="BK263" s="76" t="b">
        <v>0</v>
      </c>
      <c r="BL263" s="76"/>
      <c r="BM263" s="76" t="s">
        <v>66</v>
      </c>
      <c r="BN263" s="76" t="s">
        <v>7247</v>
      </c>
      <c r="BO263" s="83" t="str">
        <f>HYPERLINK("https://twitter.com/ocanalinvesti")</f>
        <v>https://twitter.com/ocanalinvesti</v>
      </c>
      <c r="BP263" s="2"/>
    </row>
    <row r="264" spans="1:68" x14ac:dyDescent="0.25">
      <c r="A264" s="62" t="s">
        <v>473</v>
      </c>
      <c r="B264" s="63"/>
      <c r="C264" s="63"/>
      <c r="D264" s="64"/>
      <c r="E264" s="66"/>
      <c r="F264" s="102" t="str">
        <f>HYPERLINK("https://pbs.twimg.com/profile_images/1701952574880890880/jyWXEfzz_normal.jpg")</f>
        <v>https://pbs.twimg.com/profile_images/1701952574880890880/jyWXEfzz_normal.jpg</v>
      </c>
      <c r="G264" s="63"/>
      <c r="H264" s="67"/>
      <c r="I264" s="68"/>
      <c r="J264" s="68"/>
      <c r="K264" s="67" t="s">
        <v>7508</v>
      </c>
      <c r="L264" s="71"/>
      <c r="M264" s="72"/>
      <c r="N264" s="72"/>
      <c r="O264" s="73"/>
      <c r="P264" s="74"/>
      <c r="Q264" s="74"/>
      <c r="R264" s="86"/>
      <c r="S264" s="86"/>
      <c r="T264" s="86"/>
      <c r="U264" s="86"/>
      <c r="V264" s="48"/>
      <c r="W264" s="48"/>
      <c r="X264" s="48"/>
      <c r="Y264" s="48"/>
      <c r="Z264" s="47"/>
      <c r="AA264" s="69">
        <v>264</v>
      </c>
      <c r="AB264" s="69"/>
      <c r="AC264" s="70"/>
      <c r="AD264" s="76" t="s">
        <v>6387</v>
      </c>
      <c r="AE264" s="81" t="s">
        <v>6033</v>
      </c>
      <c r="AF264" s="76">
        <v>0</v>
      </c>
      <c r="AG264" s="76">
        <v>11</v>
      </c>
      <c r="AH264" s="76">
        <v>9</v>
      </c>
      <c r="AI264" s="76">
        <v>0</v>
      </c>
      <c r="AJ264" s="76">
        <v>0</v>
      </c>
      <c r="AK264" s="76">
        <v>9</v>
      </c>
      <c r="AL264" s="76" t="b">
        <v>0</v>
      </c>
      <c r="AM264" s="78">
        <v>45182.547465277778</v>
      </c>
      <c r="AN264" s="76" t="s">
        <v>3797</v>
      </c>
      <c r="AO264" s="76" t="s">
        <v>6906</v>
      </c>
      <c r="AP264" s="76"/>
      <c r="AQ264" s="76"/>
      <c r="AR264" s="76"/>
      <c r="AS264" s="76"/>
      <c r="AT264" s="76"/>
      <c r="AU264" s="76"/>
      <c r="AV264" s="76"/>
      <c r="AW264" s="76"/>
      <c r="AX264" s="76" t="b">
        <v>0</v>
      </c>
      <c r="AY264" s="76"/>
      <c r="AZ264" s="76"/>
      <c r="BA264" s="76" t="b">
        <v>0</v>
      </c>
      <c r="BB264" s="76" t="b">
        <v>1</v>
      </c>
      <c r="BC264" s="76" t="b">
        <v>1</v>
      </c>
      <c r="BD264" s="76" t="b">
        <v>0</v>
      </c>
      <c r="BE264" s="76" t="b">
        <v>0</v>
      </c>
      <c r="BF264" s="76" t="b">
        <v>0</v>
      </c>
      <c r="BG264" s="76" t="b">
        <v>0</v>
      </c>
      <c r="BH264" s="83" t="str">
        <f>HYPERLINK("https://pbs.twimg.com/profile_banners/1701945796449488896/1694613526")</f>
        <v>https://pbs.twimg.com/profile_banners/1701945796449488896/1694613526</v>
      </c>
      <c r="BI264" s="76"/>
      <c r="BJ264" s="76" t="s">
        <v>7245</v>
      </c>
      <c r="BK264" s="76" t="b">
        <v>0</v>
      </c>
      <c r="BL264" s="76"/>
      <c r="BM264" s="76" t="s">
        <v>66</v>
      </c>
      <c r="BN264" s="76" t="s">
        <v>7247</v>
      </c>
      <c r="BO264" s="83" t="str">
        <f>HYPERLINK("https://twitter.com/mtrotciv")</f>
        <v>https://twitter.com/mtrotciv</v>
      </c>
      <c r="BP264" s="2"/>
    </row>
    <row r="265" spans="1:68" x14ac:dyDescent="0.25">
      <c r="A265" s="62" t="s">
        <v>474</v>
      </c>
      <c r="B265" s="63"/>
      <c r="C265" s="63"/>
      <c r="D265" s="64"/>
      <c r="E265" s="66"/>
      <c r="F265" s="102" t="str">
        <f>HYPERLINK("https://pbs.twimg.com/profile_images/1652427465015402499/zeYn2wGb_normal.jpg")</f>
        <v>https://pbs.twimg.com/profile_images/1652427465015402499/zeYn2wGb_normal.jpg</v>
      </c>
      <c r="G265" s="63"/>
      <c r="H265" s="67"/>
      <c r="I265" s="68"/>
      <c r="J265" s="68"/>
      <c r="K265" s="67" t="s">
        <v>7509</v>
      </c>
      <c r="L265" s="71"/>
      <c r="M265" s="72"/>
      <c r="N265" s="72"/>
      <c r="O265" s="73"/>
      <c r="P265" s="74"/>
      <c r="Q265" s="74"/>
      <c r="R265" s="86"/>
      <c r="S265" s="86"/>
      <c r="T265" s="86"/>
      <c r="U265" s="86"/>
      <c r="V265" s="48"/>
      <c r="W265" s="48"/>
      <c r="X265" s="48"/>
      <c r="Y265" s="48"/>
      <c r="Z265" s="47"/>
      <c r="AA265" s="69">
        <v>265</v>
      </c>
      <c r="AB265" s="69"/>
      <c r="AC265" s="70"/>
      <c r="AD265" s="76" t="s">
        <v>2744</v>
      </c>
      <c r="AE265" s="81" t="s">
        <v>6034</v>
      </c>
      <c r="AF265" s="76">
        <v>8</v>
      </c>
      <c r="AG265" s="76">
        <v>12</v>
      </c>
      <c r="AH265" s="76">
        <v>269</v>
      </c>
      <c r="AI265" s="76">
        <v>0</v>
      </c>
      <c r="AJ265" s="76">
        <v>20</v>
      </c>
      <c r="AK265" s="76">
        <v>0</v>
      </c>
      <c r="AL265" s="76" t="b">
        <v>0</v>
      </c>
      <c r="AM265" s="78">
        <v>45045.896608796298</v>
      </c>
      <c r="AN265" s="76"/>
      <c r="AO265" s="76" t="s">
        <v>6907</v>
      </c>
      <c r="AP265" s="76"/>
      <c r="AQ265" s="76"/>
      <c r="AR265" s="76"/>
      <c r="AS265" s="76"/>
      <c r="AT265" s="76"/>
      <c r="AU265" s="76"/>
      <c r="AV265" s="76"/>
      <c r="AW265" s="76"/>
      <c r="AX265" s="76" t="b">
        <v>0</v>
      </c>
      <c r="AY265" s="76"/>
      <c r="AZ265" s="76"/>
      <c r="BA265" s="76" t="b">
        <v>0</v>
      </c>
      <c r="BB265" s="76" t="b">
        <v>1</v>
      </c>
      <c r="BC265" s="76" t="b">
        <v>1</v>
      </c>
      <c r="BD265" s="76" t="b">
        <v>0</v>
      </c>
      <c r="BE265" s="76" t="b">
        <v>0</v>
      </c>
      <c r="BF265" s="76" t="b">
        <v>0</v>
      </c>
      <c r="BG265" s="76" t="b">
        <v>0</v>
      </c>
      <c r="BH265" s="76"/>
      <c r="BI265" s="76"/>
      <c r="BJ265" s="76" t="s">
        <v>7245</v>
      </c>
      <c r="BK265" s="76" t="b">
        <v>0</v>
      </c>
      <c r="BL265" s="76"/>
      <c r="BM265" s="76" t="s">
        <v>66</v>
      </c>
      <c r="BN265" s="76" t="s">
        <v>7247</v>
      </c>
      <c r="BO265" s="83" t="str">
        <f>HYPERLINK("https://twitter.com/ancapgpt")</f>
        <v>https://twitter.com/ancapgpt</v>
      </c>
      <c r="BP265" s="2"/>
    </row>
    <row r="266" spans="1:68" x14ac:dyDescent="0.25">
      <c r="A266" s="62" t="s">
        <v>475</v>
      </c>
      <c r="B266" s="63"/>
      <c r="C266" s="63"/>
      <c r="D266" s="64"/>
      <c r="E266" s="66"/>
      <c r="F266" s="102" t="str">
        <f>HYPERLINK("https://pbs.twimg.com/profile_images/1283576393662636034/EjgsMA_W_normal.jpg")</f>
        <v>https://pbs.twimg.com/profile_images/1283576393662636034/EjgsMA_W_normal.jpg</v>
      </c>
      <c r="G266" s="63"/>
      <c r="H266" s="67"/>
      <c r="I266" s="68"/>
      <c r="J266" s="68"/>
      <c r="K266" s="67" t="s">
        <v>7510</v>
      </c>
      <c r="L266" s="71"/>
      <c r="M266" s="72"/>
      <c r="N266" s="72"/>
      <c r="O266" s="73"/>
      <c r="P266" s="74"/>
      <c r="Q266" s="74"/>
      <c r="R266" s="86"/>
      <c r="S266" s="86"/>
      <c r="T266" s="86"/>
      <c r="U266" s="86"/>
      <c r="V266" s="48"/>
      <c r="W266" s="48"/>
      <c r="X266" s="48"/>
      <c r="Y266" s="48"/>
      <c r="Z266" s="47"/>
      <c r="AA266" s="69">
        <v>266</v>
      </c>
      <c r="AB266" s="69"/>
      <c r="AC266" s="70"/>
      <c r="AD266" s="76" t="s">
        <v>475</v>
      </c>
      <c r="AE266" s="81" t="s">
        <v>5605</v>
      </c>
      <c r="AF266" s="76">
        <v>37</v>
      </c>
      <c r="AG266" s="76">
        <v>88</v>
      </c>
      <c r="AH266" s="76">
        <v>2711</v>
      </c>
      <c r="AI266" s="76">
        <v>0</v>
      </c>
      <c r="AJ266" s="76">
        <v>289</v>
      </c>
      <c r="AK266" s="76">
        <v>1510</v>
      </c>
      <c r="AL266" s="76" t="b">
        <v>0</v>
      </c>
      <c r="AM266" s="78">
        <v>44028.067337962966</v>
      </c>
      <c r="AN266" s="76"/>
      <c r="AO266" s="76" t="s">
        <v>6908</v>
      </c>
      <c r="AP266" s="76"/>
      <c r="AQ266" s="76"/>
      <c r="AR266" s="76"/>
      <c r="AS266" s="76"/>
      <c r="AT266" s="76"/>
      <c r="AU266" s="76"/>
      <c r="AV266" s="76"/>
      <c r="AW266" s="76"/>
      <c r="AX266" s="76" t="b">
        <v>0</v>
      </c>
      <c r="AY266" s="76"/>
      <c r="AZ266" s="76"/>
      <c r="BA266" s="76" t="b">
        <v>0</v>
      </c>
      <c r="BB266" s="76" t="b">
        <v>1</v>
      </c>
      <c r="BC266" s="76" t="b">
        <v>1</v>
      </c>
      <c r="BD266" s="76" t="b">
        <v>0</v>
      </c>
      <c r="BE266" s="76" t="b">
        <v>1</v>
      </c>
      <c r="BF266" s="76" t="b">
        <v>0</v>
      </c>
      <c r="BG266" s="76" t="b">
        <v>0</v>
      </c>
      <c r="BH266" s="76"/>
      <c r="BI266" s="76"/>
      <c r="BJ266" s="76" t="s">
        <v>7245</v>
      </c>
      <c r="BK266" s="76" t="b">
        <v>0</v>
      </c>
      <c r="BL266" s="76"/>
      <c r="BM266" s="76" t="s">
        <v>66</v>
      </c>
      <c r="BN266" s="76" t="s">
        <v>7247</v>
      </c>
      <c r="BO266" s="83" t="str">
        <f>HYPERLINK("https://twitter.com/economedicos")</f>
        <v>https://twitter.com/economedicos</v>
      </c>
      <c r="BP266" s="2"/>
    </row>
    <row r="267" spans="1:68" x14ac:dyDescent="0.25">
      <c r="A267" s="62" t="s">
        <v>476</v>
      </c>
      <c r="B267" s="63"/>
      <c r="C267" s="63"/>
      <c r="D267" s="64"/>
      <c r="E267" s="66"/>
      <c r="F267" s="102" t="str">
        <f>HYPERLINK("https://pbs.twimg.com/profile_images/1606320127775068162/0YAXFc6r_normal.jpg")</f>
        <v>https://pbs.twimg.com/profile_images/1606320127775068162/0YAXFc6r_normal.jpg</v>
      </c>
      <c r="G267" s="63"/>
      <c r="H267" s="67"/>
      <c r="I267" s="68"/>
      <c r="J267" s="68"/>
      <c r="K267" s="67" t="s">
        <v>7511</v>
      </c>
      <c r="L267" s="71"/>
      <c r="M267" s="72"/>
      <c r="N267" s="72"/>
      <c r="O267" s="73"/>
      <c r="P267" s="74"/>
      <c r="Q267" s="74"/>
      <c r="R267" s="86"/>
      <c r="S267" s="86"/>
      <c r="T267" s="86"/>
      <c r="U267" s="86"/>
      <c r="V267" s="48"/>
      <c r="W267" s="48"/>
      <c r="X267" s="48"/>
      <c r="Y267" s="48"/>
      <c r="Z267" s="47"/>
      <c r="AA267" s="69">
        <v>267</v>
      </c>
      <c r="AB267" s="69"/>
      <c r="AC267" s="70"/>
      <c r="AD267" s="76" t="s">
        <v>6388</v>
      </c>
      <c r="AE267" s="81" t="s">
        <v>6035</v>
      </c>
      <c r="AF267" s="76">
        <v>9</v>
      </c>
      <c r="AG267" s="76">
        <v>17</v>
      </c>
      <c r="AH267" s="76">
        <v>182</v>
      </c>
      <c r="AI267" s="76">
        <v>0</v>
      </c>
      <c r="AJ267" s="76">
        <v>495</v>
      </c>
      <c r="AK267" s="76">
        <v>21</v>
      </c>
      <c r="AL267" s="76" t="b">
        <v>0</v>
      </c>
      <c r="AM267" s="78">
        <v>44674.148692129631</v>
      </c>
      <c r="AN267" s="76" t="s">
        <v>6646</v>
      </c>
      <c r="AO267" s="76" t="s">
        <v>6909</v>
      </c>
      <c r="AP267" s="83" t="str">
        <f>HYPERLINK("https://t.co/rcydYizAW3")</f>
        <v>https://t.co/rcydYizAW3</v>
      </c>
      <c r="AQ267" s="83" t="str">
        <f>HYPERLINK("http://hotm.art/AulaAltaConversao_")</f>
        <v>http://hotm.art/AulaAltaConversao_</v>
      </c>
      <c r="AR267" s="76" t="s">
        <v>7142</v>
      </c>
      <c r="AS267" s="76"/>
      <c r="AT267" s="76"/>
      <c r="AU267" s="76"/>
      <c r="AV267" s="76">
        <v>1.62280482486865E+18</v>
      </c>
      <c r="AW267" s="83" t="str">
        <f>HYPERLINK("https://t.co/rcydYizAW3")</f>
        <v>https://t.co/rcydYizAW3</v>
      </c>
      <c r="AX267" s="76" t="b">
        <v>0</v>
      </c>
      <c r="AY267" s="76"/>
      <c r="AZ267" s="76"/>
      <c r="BA267" s="76" t="b">
        <v>0</v>
      </c>
      <c r="BB267" s="76" t="b">
        <v>1</v>
      </c>
      <c r="BC267" s="76" t="b">
        <v>1</v>
      </c>
      <c r="BD267" s="76" t="b">
        <v>0</v>
      </c>
      <c r="BE267" s="76" t="b">
        <v>0</v>
      </c>
      <c r="BF267" s="76" t="b">
        <v>0</v>
      </c>
      <c r="BG267" s="76" t="b">
        <v>0</v>
      </c>
      <c r="BH267" s="83" t="str">
        <f>HYPERLINK("https://pbs.twimg.com/profile_banners/1517708223251464193/1671814546")</f>
        <v>https://pbs.twimg.com/profile_banners/1517708223251464193/1671814546</v>
      </c>
      <c r="BI267" s="76"/>
      <c r="BJ267" s="76" t="s">
        <v>7245</v>
      </c>
      <c r="BK267" s="76" t="b">
        <v>0</v>
      </c>
      <c r="BL267" s="76"/>
      <c r="BM267" s="76" t="s">
        <v>66</v>
      </c>
      <c r="BN267" s="76" t="s">
        <v>7247</v>
      </c>
      <c r="BO267" s="83" t="str">
        <f>HYPERLINK("https://twitter.com/heltonarcanjo2")</f>
        <v>https://twitter.com/heltonarcanjo2</v>
      </c>
      <c r="BP267" s="2"/>
    </row>
    <row r="268" spans="1:68" x14ac:dyDescent="0.25">
      <c r="A268" s="62" t="s">
        <v>477</v>
      </c>
      <c r="B268" s="63"/>
      <c r="C268" s="63"/>
      <c r="D268" s="64"/>
      <c r="E268" s="66"/>
      <c r="F268" s="102" t="str">
        <f>HYPERLINK("https://pbs.twimg.com/profile_images/1561266924667162624/pXvjyAYE_normal.jpg")</f>
        <v>https://pbs.twimg.com/profile_images/1561266924667162624/pXvjyAYE_normal.jpg</v>
      </c>
      <c r="G268" s="63"/>
      <c r="H268" s="67"/>
      <c r="I268" s="68"/>
      <c r="J268" s="68"/>
      <c r="K268" s="67" t="s">
        <v>7512</v>
      </c>
      <c r="L268" s="71"/>
      <c r="M268" s="72"/>
      <c r="N268" s="72"/>
      <c r="O268" s="73"/>
      <c r="P268" s="74"/>
      <c r="Q268" s="74"/>
      <c r="R268" s="86"/>
      <c r="S268" s="86"/>
      <c r="T268" s="86"/>
      <c r="U268" s="86"/>
      <c r="V268" s="48"/>
      <c r="W268" s="48"/>
      <c r="X268" s="48"/>
      <c r="Y268" s="48"/>
      <c r="Z268" s="47"/>
      <c r="AA268" s="69">
        <v>268</v>
      </c>
      <c r="AB268" s="69"/>
      <c r="AC268" s="70"/>
      <c r="AD268" s="76" t="s">
        <v>6389</v>
      </c>
      <c r="AE268" s="81" t="s">
        <v>6036</v>
      </c>
      <c r="AF268" s="76">
        <v>7</v>
      </c>
      <c r="AG268" s="76">
        <v>86</v>
      </c>
      <c r="AH268" s="76">
        <v>341</v>
      </c>
      <c r="AI268" s="76">
        <v>0</v>
      </c>
      <c r="AJ268" s="76">
        <v>256</v>
      </c>
      <c r="AK268" s="76">
        <v>44</v>
      </c>
      <c r="AL268" s="76" t="b">
        <v>0</v>
      </c>
      <c r="AM268" s="78">
        <v>44794.347407407404</v>
      </c>
      <c r="AN268" s="76"/>
      <c r="AO268" s="76" t="s">
        <v>6910</v>
      </c>
      <c r="AP268" s="76"/>
      <c r="AQ268" s="76"/>
      <c r="AR268" s="76"/>
      <c r="AS268" s="76"/>
      <c r="AT268" s="76"/>
      <c r="AU268" s="76"/>
      <c r="AV268" s="76">
        <v>1.69432112161586E+18</v>
      </c>
      <c r="AW268" s="76"/>
      <c r="AX268" s="76" t="b">
        <v>0</v>
      </c>
      <c r="AY268" s="76"/>
      <c r="AZ268" s="76"/>
      <c r="BA268" s="76" t="b">
        <v>0</v>
      </c>
      <c r="BB268" s="76" t="b">
        <v>1</v>
      </c>
      <c r="BC268" s="76" t="b">
        <v>1</v>
      </c>
      <c r="BD268" s="76" t="b">
        <v>0</v>
      </c>
      <c r="BE268" s="76" t="b">
        <v>1</v>
      </c>
      <c r="BF268" s="76" t="b">
        <v>0</v>
      </c>
      <c r="BG268" s="76" t="b">
        <v>0</v>
      </c>
      <c r="BH268" s="83" t="str">
        <f>HYPERLINK("https://pbs.twimg.com/profile_banners/1561266868119547904/1664028528")</f>
        <v>https://pbs.twimg.com/profile_banners/1561266868119547904/1664028528</v>
      </c>
      <c r="BI268" s="76"/>
      <c r="BJ268" s="76" t="s">
        <v>7245</v>
      </c>
      <c r="BK268" s="76" t="b">
        <v>0</v>
      </c>
      <c r="BL268" s="76"/>
      <c r="BM268" s="76" t="s">
        <v>66</v>
      </c>
      <c r="BN268" s="76" t="s">
        <v>7247</v>
      </c>
      <c r="BO268" s="83" t="str">
        <f>HYPERLINK("https://twitter.com/sageousthoughts")</f>
        <v>https://twitter.com/sageousthoughts</v>
      </c>
      <c r="BP268" s="2"/>
    </row>
    <row r="269" spans="1:68" x14ac:dyDescent="0.25">
      <c r="A269" s="62" t="s">
        <v>478</v>
      </c>
      <c r="B269" s="63"/>
      <c r="C269" s="63"/>
      <c r="D269" s="64"/>
      <c r="E269" s="66"/>
      <c r="F269" s="102" t="str">
        <f>HYPERLINK("https://pbs.twimg.com/profile_images/1308037131470811138/4qhX5Ihs_normal.png")</f>
        <v>https://pbs.twimg.com/profile_images/1308037131470811138/4qhX5Ihs_normal.png</v>
      </c>
      <c r="G269" s="63"/>
      <c r="H269" s="67"/>
      <c r="I269" s="68"/>
      <c r="J269" s="68"/>
      <c r="K269" s="67" t="s">
        <v>7513</v>
      </c>
      <c r="L269" s="71"/>
      <c r="M269" s="72"/>
      <c r="N269" s="72"/>
      <c r="O269" s="73"/>
      <c r="P269" s="74"/>
      <c r="Q269" s="74"/>
      <c r="R269" s="86"/>
      <c r="S269" s="86"/>
      <c r="T269" s="86"/>
      <c r="U269" s="86"/>
      <c r="V269" s="48"/>
      <c r="W269" s="48"/>
      <c r="X269" s="48"/>
      <c r="Y269" s="48"/>
      <c r="Z269" s="47"/>
      <c r="AA269" s="69">
        <v>269</v>
      </c>
      <c r="AB269" s="69"/>
      <c r="AC269" s="70"/>
      <c r="AD269" s="76" t="s">
        <v>6390</v>
      </c>
      <c r="AE269" s="81" t="s">
        <v>6037</v>
      </c>
      <c r="AF269" s="76">
        <v>24</v>
      </c>
      <c r="AG269" s="76">
        <v>360</v>
      </c>
      <c r="AH269" s="76">
        <v>1249</v>
      </c>
      <c r="AI269" s="76">
        <v>0</v>
      </c>
      <c r="AJ269" s="76">
        <v>0</v>
      </c>
      <c r="AK269" s="76">
        <v>482</v>
      </c>
      <c r="AL269" s="76" t="b">
        <v>0</v>
      </c>
      <c r="AM269" s="78">
        <v>44095.565868055557</v>
      </c>
      <c r="AN269" s="76"/>
      <c r="AO269" s="76" t="s">
        <v>6911</v>
      </c>
      <c r="AP269" s="83" t="str">
        <f>HYPERLINK("https://t.co/UiUIarY1MT")</f>
        <v>https://t.co/UiUIarY1MT</v>
      </c>
      <c r="AQ269" s="83" t="str">
        <f>HYPERLINK("https://linktr.ee/investimentoobjetivo")</f>
        <v>https://linktr.ee/investimentoobjetivo</v>
      </c>
      <c r="AR269" s="76" t="s">
        <v>7143</v>
      </c>
      <c r="AS269" s="76"/>
      <c r="AT269" s="76"/>
      <c r="AU269" s="76"/>
      <c r="AV269" s="76"/>
      <c r="AW269" s="83" t="str">
        <f>HYPERLINK("https://t.co/UiUIarY1MT")</f>
        <v>https://t.co/UiUIarY1MT</v>
      </c>
      <c r="AX269" s="76" t="b">
        <v>0</v>
      </c>
      <c r="AY269" s="76"/>
      <c r="AZ269" s="76"/>
      <c r="BA269" s="76" t="b">
        <v>0</v>
      </c>
      <c r="BB269" s="76" t="b">
        <v>1</v>
      </c>
      <c r="BC269" s="76" t="b">
        <v>1</v>
      </c>
      <c r="BD269" s="76" t="b">
        <v>0</v>
      </c>
      <c r="BE269" s="76" t="b">
        <v>0</v>
      </c>
      <c r="BF269" s="76" t="b">
        <v>0</v>
      </c>
      <c r="BG269" s="76" t="b">
        <v>0</v>
      </c>
      <c r="BH269" s="83" t="str">
        <f>HYPERLINK("https://pbs.twimg.com/profile_banners/1308036876457177089/1651416308")</f>
        <v>https://pbs.twimg.com/profile_banners/1308036876457177089/1651416308</v>
      </c>
      <c r="BI269" s="76"/>
      <c r="BJ269" s="76" t="s">
        <v>7245</v>
      </c>
      <c r="BK269" s="76" t="b">
        <v>0</v>
      </c>
      <c r="BL269" s="76"/>
      <c r="BM269" s="76" t="s">
        <v>66</v>
      </c>
      <c r="BN269" s="76" t="s">
        <v>7247</v>
      </c>
      <c r="BO269" s="83" t="str">
        <f>HYPERLINK("https://twitter.com/investimentoob1")</f>
        <v>https://twitter.com/investimentoob1</v>
      </c>
      <c r="BP269" s="2"/>
    </row>
    <row r="270" spans="1:68" x14ac:dyDescent="0.25">
      <c r="A270" s="62" t="s">
        <v>479</v>
      </c>
      <c r="B270" s="63"/>
      <c r="C270" s="63"/>
      <c r="D270" s="64"/>
      <c r="E270" s="66"/>
      <c r="F270" s="102" t="str">
        <f>HYPERLINK("https://pbs.twimg.com/profile_images/1662184197581094916/kau7JCih_normal.jpg")</f>
        <v>https://pbs.twimg.com/profile_images/1662184197581094916/kau7JCih_normal.jpg</v>
      </c>
      <c r="G270" s="63"/>
      <c r="H270" s="67"/>
      <c r="I270" s="68"/>
      <c r="J270" s="68"/>
      <c r="K270" s="67" t="s">
        <v>7514</v>
      </c>
      <c r="L270" s="71"/>
      <c r="M270" s="72"/>
      <c r="N270" s="72"/>
      <c r="O270" s="73"/>
      <c r="P270" s="74"/>
      <c r="Q270" s="74"/>
      <c r="R270" s="86"/>
      <c r="S270" s="86"/>
      <c r="T270" s="86"/>
      <c r="U270" s="86"/>
      <c r="V270" s="48"/>
      <c r="W270" s="48"/>
      <c r="X270" s="48"/>
      <c r="Y270" s="48"/>
      <c r="Z270" s="47"/>
      <c r="AA270" s="69">
        <v>270</v>
      </c>
      <c r="AB270" s="69"/>
      <c r="AC270" s="70"/>
      <c r="AD270" s="76" t="s">
        <v>6391</v>
      </c>
      <c r="AE270" s="81" t="s">
        <v>6038</v>
      </c>
      <c r="AF270" s="76">
        <v>5</v>
      </c>
      <c r="AG270" s="76">
        <v>95</v>
      </c>
      <c r="AH270" s="76">
        <v>18</v>
      </c>
      <c r="AI270" s="76">
        <v>0</v>
      </c>
      <c r="AJ270" s="76">
        <v>56</v>
      </c>
      <c r="AK270" s="76">
        <v>10</v>
      </c>
      <c r="AL270" s="76" t="b">
        <v>0</v>
      </c>
      <c r="AM270" s="78">
        <v>44506.003252314818</v>
      </c>
      <c r="AN270" s="76" t="s">
        <v>6647</v>
      </c>
      <c r="AO270" s="76" t="s">
        <v>6912</v>
      </c>
      <c r="AP270" s="83" t="str">
        <f>HYPERLINK("https://t.co/0VSwCnR0hn")</f>
        <v>https://t.co/0VSwCnR0hn</v>
      </c>
      <c r="AQ270" s="83" t="str">
        <f>HYPERLINK("http://app.bybot.ai/new-affiliate/maome")</f>
        <v>http://app.bybot.ai/new-affiliate/maome</v>
      </c>
      <c r="AR270" s="76" t="s">
        <v>7144</v>
      </c>
      <c r="AS270" s="76"/>
      <c r="AT270" s="76"/>
      <c r="AU270" s="76"/>
      <c r="AV270" s="76"/>
      <c r="AW270" s="83" t="str">
        <f>HYPERLINK("https://t.co/0VSwCnR0hn")</f>
        <v>https://t.co/0VSwCnR0hn</v>
      </c>
      <c r="AX270" s="76" t="b">
        <v>0</v>
      </c>
      <c r="AY270" s="76"/>
      <c r="AZ270" s="76"/>
      <c r="BA270" s="76" t="b">
        <v>0</v>
      </c>
      <c r="BB270" s="76" t="b">
        <v>1</v>
      </c>
      <c r="BC270" s="76" t="b">
        <v>1</v>
      </c>
      <c r="BD270" s="76" t="b">
        <v>0</v>
      </c>
      <c r="BE270" s="76" t="b">
        <v>0</v>
      </c>
      <c r="BF270" s="76" t="b">
        <v>0</v>
      </c>
      <c r="BG270" s="76" t="b">
        <v>0</v>
      </c>
      <c r="BH270" s="83" t="str">
        <f>HYPERLINK("https://pbs.twimg.com/profile_banners/1456774443104100353/1685130571")</f>
        <v>https://pbs.twimg.com/profile_banners/1456774443104100353/1685130571</v>
      </c>
      <c r="BI270" s="76"/>
      <c r="BJ270" s="76" t="s">
        <v>7245</v>
      </c>
      <c r="BK270" s="76" t="b">
        <v>0</v>
      </c>
      <c r="BL270" s="76"/>
      <c r="BM270" s="76" t="s">
        <v>66</v>
      </c>
      <c r="BN270" s="76" t="s">
        <v>7247</v>
      </c>
      <c r="BO270" s="83" t="str">
        <f>HYPERLINK("https://twitter.com/bybot_roboo")</f>
        <v>https://twitter.com/bybot_roboo</v>
      </c>
      <c r="BP270" s="2"/>
    </row>
    <row r="271" spans="1:68" x14ac:dyDescent="0.25">
      <c r="A271" s="62" t="s">
        <v>480</v>
      </c>
      <c r="B271" s="63"/>
      <c r="C271" s="63"/>
      <c r="D271" s="64"/>
      <c r="E271" s="66"/>
      <c r="F271" s="102" t="str">
        <f>HYPERLINK("https://pbs.twimg.com/profile_images/1574763230995648513/Pleog974_normal.jpg")</f>
        <v>https://pbs.twimg.com/profile_images/1574763230995648513/Pleog974_normal.jpg</v>
      </c>
      <c r="G271" s="63"/>
      <c r="H271" s="67"/>
      <c r="I271" s="68"/>
      <c r="J271" s="68"/>
      <c r="K271" s="67" t="s">
        <v>7515</v>
      </c>
      <c r="L271" s="71"/>
      <c r="M271" s="72"/>
      <c r="N271" s="72"/>
      <c r="O271" s="73"/>
      <c r="P271" s="74"/>
      <c r="Q271" s="74"/>
      <c r="R271" s="86"/>
      <c r="S271" s="86"/>
      <c r="T271" s="86"/>
      <c r="U271" s="86"/>
      <c r="V271" s="48"/>
      <c r="W271" s="48"/>
      <c r="X271" s="48"/>
      <c r="Y271" s="48"/>
      <c r="Z271" s="47"/>
      <c r="AA271" s="69">
        <v>271</v>
      </c>
      <c r="AB271" s="69"/>
      <c r="AC271" s="70"/>
      <c r="AD271" s="76" t="s">
        <v>6392</v>
      </c>
      <c r="AE271" s="81" t="s">
        <v>6532</v>
      </c>
      <c r="AF271" s="76">
        <v>1066</v>
      </c>
      <c r="AG271" s="76">
        <v>4708</v>
      </c>
      <c r="AH271" s="76">
        <v>6281</v>
      </c>
      <c r="AI271" s="76">
        <v>1</v>
      </c>
      <c r="AJ271" s="76">
        <v>12945</v>
      </c>
      <c r="AK271" s="76">
        <v>1477</v>
      </c>
      <c r="AL271" s="76" t="b">
        <v>0</v>
      </c>
      <c r="AM271" s="78">
        <v>40308.998055555552</v>
      </c>
      <c r="AN271" s="76" t="s">
        <v>6648</v>
      </c>
      <c r="AO271" s="76" t="s">
        <v>6913</v>
      </c>
      <c r="AP271" s="76"/>
      <c r="AQ271" s="76"/>
      <c r="AR271" s="76"/>
      <c r="AS271" s="76"/>
      <c r="AT271" s="76"/>
      <c r="AU271" s="76"/>
      <c r="AV271" s="76"/>
      <c r="AW271" s="76"/>
      <c r="AX271" s="76" t="b">
        <v>0</v>
      </c>
      <c r="AY271" s="76"/>
      <c r="AZ271" s="76"/>
      <c r="BA271" s="76" t="b">
        <v>0</v>
      </c>
      <c r="BB271" s="76" t="b">
        <v>1</v>
      </c>
      <c r="BC271" s="76" t="b">
        <v>0</v>
      </c>
      <c r="BD271" s="76" t="b">
        <v>0</v>
      </c>
      <c r="BE271" s="76" t="b">
        <v>1</v>
      </c>
      <c r="BF271" s="76" t="b">
        <v>0</v>
      </c>
      <c r="BG271" s="76" t="b">
        <v>0</v>
      </c>
      <c r="BH271" s="76"/>
      <c r="BI271" s="76"/>
      <c r="BJ271" s="76" t="s">
        <v>7245</v>
      </c>
      <c r="BK271" s="76" t="b">
        <v>0</v>
      </c>
      <c r="BL271" s="76"/>
      <c r="BM271" s="76" t="s">
        <v>66</v>
      </c>
      <c r="BN271" s="76" t="s">
        <v>7247</v>
      </c>
      <c r="BO271" s="83" t="str">
        <f>HYPERLINK("https://twitter.com/juninhobraguim")</f>
        <v>https://twitter.com/juninhobraguim</v>
      </c>
      <c r="BP271" s="2"/>
    </row>
    <row r="272" spans="1:68" x14ac:dyDescent="0.25">
      <c r="A272" s="62" t="s">
        <v>481</v>
      </c>
      <c r="B272" s="63"/>
      <c r="C272" s="63"/>
      <c r="D272" s="64"/>
      <c r="E272" s="66"/>
      <c r="F272" s="102" t="str">
        <f>HYPERLINK("https://pbs.twimg.com/profile_images/1684536652071419904/WKZTa77u_normal.jpg")</f>
        <v>https://pbs.twimg.com/profile_images/1684536652071419904/WKZTa77u_normal.jpg</v>
      </c>
      <c r="G272" s="63"/>
      <c r="H272" s="67"/>
      <c r="I272" s="68"/>
      <c r="J272" s="68"/>
      <c r="K272" s="67" t="s">
        <v>7516</v>
      </c>
      <c r="L272" s="71"/>
      <c r="M272" s="72"/>
      <c r="N272" s="72"/>
      <c r="O272" s="73"/>
      <c r="P272" s="74"/>
      <c r="Q272" s="74"/>
      <c r="R272" s="86"/>
      <c r="S272" s="86"/>
      <c r="T272" s="86"/>
      <c r="U272" s="86"/>
      <c r="V272" s="48"/>
      <c r="W272" s="48"/>
      <c r="X272" s="48"/>
      <c r="Y272" s="48"/>
      <c r="Z272" s="47"/>
      <c r="AA272" s="69">
        <v>272</v>
      </c>
      <c r="AB272" s="69"/>
      <c r="AC272" s="70"/>
      <c r="AD272" s="76" t="s">
        <v>6393</v>
      </c>
      <c r="AE272" s="81" t="s">
        <v>6039</v>
      </c>
      <c r="AF272" s="76">
        <v>80</v>
      </c>
      <c r="AG272" s="76">
        <v>66</v>
      </c>
      <c r="AH272" s="76">
        <v>4107</v>
      </c>
      <c r="AI272" s="76">
        <v>0</v>
      </c>
      <c r="AJ272" s="76">
        <v>443</v>
      </c>
      <c r="AK272" s="76">
        <v>1127</v>
      </c>
      <c r="AL272" s="76" t="b">
        <v>0</v>
      </c>
      <c r="AM272" s="78">
        <v>42934.918402777781</v>
      </c>
      <c r="AN272" s="76" t="s">
        <v>6649</v>
      </c>
      <c r="AO272" s="76" t="s">
        <v>6914</v>
      </c>
      <c r="AP272" s="83" t="str">
        <f>HYPERLINK("https://t.co/mu1dYm9aoq")</f>
        <v>https://t.co/mu1dYm9aoq</v>
      </c>
      <c r="AQ272" s="83" t="str">
        <f>HYPERLINK("https://linktr.ee/diegoskda")</f>
        <v>https://linktr.ee/diegoskda</v>
      </c>
      <c r="AR272" s="76" t="s">
        <v>7145</v>
      </c>
      <c r="AS272" s="76"/>
      <c r="AT272" s="76"/>
      <c r="AU272" s="76"/>
      <c r="AV272" s="76"/>
      <c r="AW272" s="83" t="str">
        <f>HYPERLINK("https://t.co/mu1dYm9aoq")</f>
        <v>https://t.co/mu1dYm9aoq</v>
      </c>
      <c r="AX272" s="76" t="b">
        <v>0</v>
      </c>
      <c r="AY272" s="76"/>
      <c r="AZ272" s="76"/>
      <c r="BA272" s="76" t="b">
        <v>0</v>
      </c>
      <c r="BB272" s="76" t="b">
        <v>1</v>
      </c>
      <c r="BC272" s="76" t="b">
        <v>1</v>
      </c>
      <c r="BD272" s="76" t="b">
        <v>0</v>
      </c>
      <c r="BE272" s="76" t="b">
        <v>1</v>
      </c>
      <c r="BF272" s="76" t="b">
        <v>0</v>
      </c>
      <c r="BG272" s="76" t="b">
        <v>0</v>
      </c>
      <c r="BH272" s="83" t="str">
        <f>HYPERLINK("https://pbs.twimg.com/profile_banners/887432414972301313/1647634996")</f>
        <v>https://pbs.twimg.com/profile_banners/887432414972301313/1647634996</v>
      </c>
      <c r="BI272" s="76"/>
      <c r="BJ272" s="76" t="s">
        <v>7245</v>
      </c>
      <c r="BK272" s="76" t="b">
        <v>0</v>
      </c>
      <c r="BL272" s="76"/>
      <c r="BM272" s="76" t="s">
        <v>66</v>
      </c>
      <c r="BN272" s="76" t="s">
        <v>7247</v>
      </c>
      <c r="BO272" s="83" t="str">
        <f>HYPERLINK("https://twitter.com/diegoskda")</f>
        <v>https://twitter.com/diegoskda</v>
      </c>
      <c r="BP272" s="2"/>
    </row>
    <row r="273" spans="1:68" x14ac:dyDescent="0.25">
      <c r="A273" s="62" t="s">
        <v>482</v>
      </c>
      <c r="B273" s="63"/>
      <c r="C273" s="63"/>
      <c r="D273" s="64"/>
      <c r="E273" s="66"/>
      <c r="F273" s="102" t="str">
        <f>HYPERLINK("https://pbs.twimg.com/profile_images/1645967703654498304/35EvZSXd_normal.jpg")</f>
        <v>https://pbs.twimg.com/profile_images/1645967703654498304/35EvZSXd_normal.jpg</v>
      </c>
      <c r="G273" s="63"/>
      <c r="H273" s="67"/>
      <c r="I273" s="68"/>
      <c r="J273" s="68"/>
      <c r="K273" s="67" t="s">
        <v>7517</v>
      </c>
      <c r="L273" s="71"/>
      <c r="M273" s="72"/>
      <c r="N273" s="72"/>
      <c r="O273" s="73"/>
      <c r="P273" s="74"/>
      <c r="Q273" s="74"/>
      <c r="R273" s="86"/>
      <c r="S273" s="86"/>
      <c r="T273" s="86"/>
      <c r="U273" s="86"/>
      <c r="V273" s="48"/>
      <c r="W273" s="48"/>
      <c r="X273" s="48"/>
      <c r="Y273" s="48"/>
      <c r="Z273" s="47"/>
      <c r="AA273" s="69">
        <v>273</v>
      </c>
      <c r="AB273" s="69"/>
      <c r="AC273" s="70"/>
      <c r="AD273" s="76" t="s">
        <v>6394</v>
      </c>
      <c r="AE273" s="81" t="s">
        <v>6040</v>
      </c>
      <c r="AF273" s="76">
        <v>2</v>
      </c>
      <c r="AG273" s="76">
        <v>21</v>
      </c>
      <c r="AH273" s="76">
        <v>2</v>
      </c>
      <c r="AI273" s="76">
        <v>0</v>
      </c>
      <c r="AJ273" s="76">
        <v>1</v>
      </c>
      <c r="AK273" s="76">
        <v>2</v>
      </c>
      <c r="AL273" s="76" t="b">
        <v>0</v>
      </c>
      <c r="AM273" s="78">
        <v>45028.076747685183</v>
      </c>
      <c r="AN273" s="76"/>
      <c r="AO273" s="76" t="s">
        <v>6915</v>
      </c>
      <c r="AP273" s="76"/>
      <c r="AQ273" s="76"/>
      <c r="AR273" s="76"/>
      <c r="AS273" s="76"/>
      <c r="AT273" s="76"/>
      <c r="AU273" s="76"/>
      <c r="AV273" s="76"/>
      <c r="AW273" s="76"/>
      <c r="AX273" s="76" t="b">
        <v>0</v>
      </c>
      <c r="AY273" s="76"/>
      <c r="AZ273" s="76"/>
      <c r="BA273" s="76" t="b">
        <v>0</v>
      </c>
      <c r="BB273" s="76" t="b">
        <v>1</v>
      </c>
      <c r="BC273" s="76" t="b">
        <v>1</v>
      </c>
      <c r="BD273" s="76" t="b">
        <v>0</v>
      </c>
      <c r="BE273" s="76" t="b">
        <v>0</v>
      </c>
      <c r="BF273" s="76" t="b">
        <v>0</v>
      </c>
      <c r="BG273" s="76" t="b">
        <v>0</v>
      </c>
      <c r="BH273" s="83" t="str">
        <f>HYPERLINK("https://pbs.twimg.com/profile_banners/1645967551141216258/1681265742")</f>
        <v>https://pbs.twimg.com/profile_banners/1645967551141216258/1681265742</v>
      </c>
      <c r="BI273" s="76"/>
      <c r="BJ273" s="76" t="s">
        <v>7245</v>
      </c>
      <c r="BK273" s="76" t="b">
        <v>0</v>
      </c>
      <c r="BL273" s="76"/>
      <c r="BM273" s="76" t="s">
        <v>66</v>
      </c>
      <c r="BN273" s="76" t="s">
        <v>7247</v>
      </c>
      <c r="BO273" s="83" t="str">
        <f>HYPERLINK("https://twitter.com/flavmartiins")</f>
        <v>https://twitter.com/flavmartiins</v>
      </c>
      <c r="BP273" s="2"/>
    </row>
    <row r="274" spans="1:68" x14ac:dyDescent="0.25">
      <c r="A274" s="62" t="s">
        <v>483</v>
      </c>
      <c r="B274" s="63"/>
      <c r="C274" s="63"/>
      <c r="D274" s="64"/>
      <c r="E274" s="66"/>
      <c r="F274" s="102" t="str">
        <f>HYPERLINK("https://pbs.twimg.com/profile_images/736060104642945024/QIHnDpWL_normal.jpg")</f>
        <v>https://pbs.twimg.com/profile_images/736060104642945024/QIHnDpWL_normal.jpg</v>
      </c>
      <c r="G274" s="63"/>
      <c r="H274" s="67"/>
      <c r="I274" s="68"/>
      <c r="J274" s="68"/>
      <c r="K274" s="67" t="s">
        <v>7518</v>
      </c>
      <c r="L274" s="71"/>
      <c r="M274" s="72"/>
      <c r="N274" s="72"/>
      <c r="O274" s="73"/>
      <c r="P274" s="74"/>
      <c r="Q274" s="74"/>
      <c r="R274" s="86"/>
      <c r="S274" s="86"/>
      <c r="T274" s="86"/>
      <c r="U274" s="86"/>
      <c r="V274" s="48"/>
      <c r="W274" s="48"/>
      <c r="X274" s="48"/>
      <c r="Y274" s="48"/>
      <c r="Z274" s="47"/>
      <c r="AA274" s="69">
        <v>274</v>
      </c>
      <c r="AB274" s="69"/>
      <c r="AC274" s="70"/>
      <c r="AD274" s="76" t="s">
        <v>6395</v>
      </c>
      <c r="AE274" s="81" t="s">
        <v>5606</v>
      </c>
      <c r="AF274" s="76">
        <v>501</v>
      </c>
      <c r="AG274" s="76">
        <v>604</v>
      </c>
      <c r="AH274" s="76">
        <v>1170</v>
      </c>
      <c r="AI274" s="76">
        <v>7</v>
      </c>
      <c r="AJ274" s="76">
        <v>1622</v>
      </c>
      <c r="AK274" s="76">
        <v>54</v>
      </c>
      <c r="AL274" s="76" t="b">
        <v>0</v>
      </c>
      <c r="AM274" s="78">
        <v>40770.032025462962</v>
      </c>
      <c r="AN274" s="76" t="s">
        <v>6650</v>
      </c>
      <c r="AO274" s="76"/>
      <c r="AP274" s="76"/>
      <c r="AQ274" s="76"/>
      <c r="AR274" s="76"/>
      <c r="AS274" s="76"/>
      <c r="AT274" s="76"/>
      <c r="AU274" s="76"/>
      <c r="AV274" s="76">
        <v>1.62447932335155E+18</v>
      </c>
      <c r="AW274" s="76"/>
      <c r="AX274" s="76" t="b">
        <v>0</v>
      </c>
      <c r="AY274" s="76"/>
      <c r="AZ274" s="76"/>
      <c r="BA274" s="76" t="b">
        <v>0</v>
      </c>
      <c r="BB274" s="76" t="b">
        <v>1</v>
      </c>
      <c r="BC274" s="76" t="b">
        <v>0</v>
      </c>
      <c r="BD274" s="76" t="b">
        <v>0</v>
      </c>
      <c r="BE274" s="76" t="b">
        <v>1</v>
      </c>
      <c r="BF274" s="76" t="b">
        <v>0</v>
      </c>
      <c r="BG274" s="76" t="b">
        <v>0</v>
      </c>
      <c r="BH274" s="83" t="str">
        <f>HYPERLINK("https://pbs.twimg.com/profile_banners/355209370/1464325615")</f>
        <v>https://pbs.twimg.com/profile_banners/355209370/1464325615</v>
      </c>
      <c r="BI274" s="76"/>
      <c r="BJ274" s="76" t="s">
        <v>7245</v>
      </c>
      <c r="BK274" s="76" t="b">
        <v>0</v>
      </c>
      <c r="BL274" s="76"/>
      <c r="BM274" s="76" t="s">
        <v>66</v>
      </c>
      <c r="BN274" s="76" t="s">
        <v>7247</v>
      </c>
      <c r="BO274" s="83" t="str">
        <f>HYPERLINK("https://twitter.com/cleucianesousa")</f>
        <v>https://twitter.com/cleucianesousa</v>
      </c>
      <c r="BP274" s="2"/>
    </row>
    <row r="275" spans="1:68" x14ac:dyDescent="0.25">
      <c r="A275" s="62" t="s">
        <v>484</v>
      </c>
      <c r="B275" s="63"/>
      <c r="C275" s="63"/>
      <c r="D275" s="64"/>
      <c r="E275" s="66"/>
      <c r="F275" s="102" t="str">
        <f>HYPERLINK("https://pbs.twimg.com/profile_images/1514188013500309507/2KLXzdAI_normal.jpg")</f>
        <v>https://pbs.twimg.com/profile_images/1514188013500309507/2KLXzdAI_normal.jpg</v>
      </c>
      <c r="G275" s="63"/>
      <c r="H275" s="67"/>
      <c r="I275" s="68"/>
      <c r="J275" s="68"/>
      <c r="K275" s="67" t="s">
        <v>7519</v>
      </c>
      <c r="L275" s="71"/>
      <c r="M275" s="72"/>
      <c r="N275" s="72"/>
      <c r="O275" s="73"/>
      <c r="P275" s="74"/>
      <c r="Q275" s="74"/>
      <c r="R275" s="86"/>
      <c r="S275" s="86"/>
      <c r="T275" s="86"/>
      <c r="U275" s="86"/>
      <c r="V275" s="48"/>
      <c r="W275" s="48"/>
      <c r="X275" s="48"/>
      <c r="Y275" s="48"/>
      <c r="Z275" s="47"/>
      <c r="AA275" s="69">
        <v>275</v>
      </c>
      <c r="AB275" s="69"/>
      <c r="AC275" s="70"/>
      <c r="AD275" s="76" t="s">
        <v>6396</v>
      </c>
      <c r="AE275" s="81" t="s">
        <v>6041</v>
      </c>
      <c r="AF275" s="76">
        <v>286</v>
      </c>
      <c r="AG275" s="76">
        <v>20</v>
      </c>
      <c r="AH275" s="76">
        <v>30504</v>
      </c>
      <c r="AI275" s="76">
        <v>0</v>
      </c>
      <c r="AJ275" s="76">
        <v>37657</v>
      </c>
      <c r="AK275" s="76">
        <v>1656</v>
      </c>
      <c r="AL275" s="76" t="b">
        <v>0</v>
      </c>
      <c r="AM275" s="78">
        <v>44193.4687037037</v>
      </c>
      <c r="AN275" s="76"/>
      <c r="AO275" s="76" t="s">
        <v>6916</v>
      </c>
      <c r="AP275" s="83" t="str">
        <f>HYPERLINK("https://t.co/oo933TGs6F")</f>
        <v>https://t.co/oo933TGs6F</v>
      </c>
      <c r="AQ275" s="83" t="str">
        <f>HYPERLINK("https://www.guardardinheiro.com.br")</f>
        <v>https://www.guardardinheiro.com.br</v>
      </c>
      <c r="AR275" s="76" t="s">
        <v>7146</v>
      </c>
      <c r="AS275" s="76"/>
      <c r="AT275" s="76"/>
      <c r="AU275" s="76"/>
      <c r="AV275" s="76">
        <v>1.68361291999965E+18</v>
      </c>
      <c r="AW275" s="83" t="str">
        <f>HYPERLINK("https://t.co/oo933TGs6F")</f>
        <v>https://t.co/oo933TGs6F</v>
      </c>
      <c r="AX275" s="76" t="b">
        <v>0</v>
      </c>
      <c r="AY275" s="76"/>
      <c r="AZ275" s="76"/>
      <c r="BA275" s="76" t="b">
        <v>1</v>
      </c>
      <c r="BB275" s="76" t="b">
        <v>1</v>
      </c>
      <c r="BC275" s="76" t="b">
        <v>1</v>
      </c>
      <c r="BD275" s="76" t="b">
        <v>0</v>
      </c>
      <c r="BE275" s="76" t="b">
        <v>0</v>
      </c>
      <c r="BF275" s="76" t="b">
        <v>0</v>
      </c>
      <c r="BG275" s="76" t="b">
        <v>0</v>
      </c>
      <c r="BH275" s="83" t="str">
        <f>HYPERLINK("https://pbs.twimg.com/profile_banners/1343515747016962048/1620791501")</f>
        <v>https://pbs.twimg.com/profile_banners/1343515747016962048/1620791501</v>
      </c>
      <c r="BI275" s="76"/>
      <c r="BJ275" s="76" t="s">
        <v>7245</v>
      </c>
      <c r="BK275" s="76" t="b">
        <v>0</v>
      </c>
      <c r="BL275" s="76"/>
      <c r="BM275" s="76" t="s">
        <v>66</v>
      </c>
      <c r="BN275" s="76" t="s">
        <v>7247</v>
      </c>
      <c r="BO275" s="83" t="str">
        <f>HYPERLINK("https://twitter.com/guardardinheir1")</f>
        <v>https://twitter.com/guardardinheir1</v>
      </c>
      <c r="BP275" s="2"/>
    </row>
    <row r="276" spans="1:68" x14ac:dyDescent="0.25">
      <c r="A276" s="62" t="s">
        <v>485</v>
      </c>
      <c r="B276" s="63"/>
      <c r="C276" s="63"/>
      <c r="D276" s="64"/>
      <c r="E276" s="66"/>
      <c r="F276" s="102" t="str">
        <f>HYPERLINK("https://pbs.twimg.com/profile_images/1663342474830442499/NF45LUlM_normal.jpg")</f>
        <v>https://pbs.twimg.com/profile_images/1663342474830442499/NF45LUlM_normal.jpg</v>
      </c>
      <c r="G276" s="63"/>
      <c r="H276" s="67"/>
      <c r="I276" s="68"/>
      <c r="J276" s="68"/>
      <c r="K276" s="67" t="s">
        <v>7520</v>
      </c>
      <c r="L276" s="71"/>
      <c r="M276" s="72"/>
      <c r="N276" s="72"/>
      <c r="O276" s="73"/>
      <c r="P276" s="74"/>
      <c r="Q276" s="74"/>
      <c r="R276" s="86"/>
      <c r="S276" s="86"/>
      <c r="T276" s="86"/>
      <c r="U276" s="86"/>
      <c r="V276" s="48"/>
      <c r="W276" s="48"/>
      <c r="X276" s="48"/>
      <c r="Y276" s="48"/>
      <c r="Z276" s="47"/>
      <c r="AA276" s="69">
        <v>276</v>
      </c>
      <c r="AB276" s="69"/>
      <c r="AC276" s="70"/>
      <c r="AD276" s="76" t="s">
        <v>6397</v>
      </c>
      <c r="AE276" s="81" t="s">
        <v>6042</v>
      </c>
      <c r="AF276" s="76">
        <v>0</v>
      </c>
      <c r="AG276" s="76">
        <v>9</v>
      </c>
      <c r="AH276" s="76">
        <v>20</v>
      </c>
      <c r="AI276" s="76">
        <v>0</v>
      </c>
      <c r="AJ276" s="76">
        <v>0</v>
      </c>
      <c r="AK276" s="76">
        <v>0</v>
      </c>
      <c r="AL276" s="76" t="b">
        <v>0</v>
      </c>
      <c r="AM276" s="78">
        <v>45076.021863425929</v>
      </c>
      <c r="AN276" s="76"/>
      <c r="AO276" s="76" t="s">
        <v>6917</v>
      </c>
      <c r="AP276" s="83" t="str">
        <f>HYPERLINK("https://t.co/9nReglrcVM")</f>
        <v>https://t.co/9nReglrcVM</v>
      </c>
      <c r="AQ276" s="83" t="str">
        <f>HYPERLINK("https://www.instagram.com/lucianfreirepro/")</f>
        <v>https://www.instagram.com/lucianfreirepro/</v>
      </c>
      <c r="AR276" s="76" t="s">
        <v>7147</v>
      </c>
      <c r="AS276" s="76"/>
      <c r="AT276" s="76"/>
      <c r="AU276" s="76"/>
      <c r="AV276" s="76"/>
      <c r="AW276" s="83" t="str">
        <f>HYPERLINK("https://t.co/9nReglrcVM")</f>
        <v>https://t.co/9nReglrcVM</v>
      </c>
      <c r="AX276" s="76" t="b">
        <v>0</v>
      </c>
      <c r="AY276" s="76"/>
      <c r="AZ276" s="76"/>
      <c r="BA276" s="76" t="b">
        <v>0</v>
      </c>
      <c r="BB276" s="76" t="b">
        <v>1</v>
      </c>
      <c r="BC276" s="76" t="b">
        <v>1</v>
      </c>
      <c r="BD276" s="76" t="b">
        <v>0</v>
      </c>
      <c r="BE276" s="76" t="b">
        <v>0</v>
      </c>
      <c r="BF276" s="76" t="b">
        <v>0</v>
      </c>
      <c r="BG276" s="76" t="b">
        <v>0</v>
      </c>
      <c r="BH276" s="76"/>
      <c r="BI276" s="76"/>
      <c r="BJ276" s="76" t="s">
        <v>7245</v>
      </c>
      <c r="BK276" s="76" t="b">
        <v>0</v>
      </c>
      <c r="BL276" s="76"/>
      <c r="BM276" s="76" t="s">
        <v>66</v>
      </c>
      <c r="BN276" s="76" t="s">
        <v>7247</v>
      </c>
      <c r="BO276" s="83" t="str">
        <f>HYPERLINK("https://twitter.com/lucianfreirepro")</f>
        <v>https://twitter.com/lucianfreirepro</v>
      </c>
      <c r="BP276" s="2"/>
    </row>
    <row r="277" spans="1:68" x14ac:dyDescent="0.25">
      <c r="A277" s="62" t="s">
        <v>486</v>
      </c>
      <c r="B277" s="63"/>
      <c r="C277" s="63"/>
      <c r="D277" s="64"/>
      <c r="E277" s="66"/>
      <c r="F277" s="102" t="str">
        <f>HYPERLINK("https://pbs.twimg.com/profile_images/1637825288649187329/nC12ozfd_normal.png")</f>
        <v>https://pbs.twimg.com/profile_images/1637825288649187329/nC12ozfd_normal.png</v>
      </c>
      <c r="G277" s="63"/>
      <c r="H277" s="67"/>
      <c r="I277" s="68"/>
      <c r="J277" s="68"/>
      <c r="K277" s="67" t="s">
        <v>7521</v>
      </c>
      <c r="L277" s="71"/>
      <c r="M277" s="72"/>
      <c r="N277" s="72"/>
      <c r="O277" s="73"/>
      <c r="P277" s="74"/>
      <c r="Q277" s="74"/>
      <c r="R277" s="86"/>
      <c r="S277" s="86"/>
      <c r="T277" s="86"/>
      <c r="U277" s="86"/>
      <c r="V277" s="48"/>
      <c r="W277" s="48"/>
      <c r="X277" s="48"/>
      <c r="Y277" s="48"/>
      <c r="Z277" s="47"/>
      <c r="AA277" s="69">
        <v>277</v>
      </c>
      <c r="AB277" s="69"/>
      <c r="AC277" s="70"/>
      <c r="AD277" s="76" t="s">
        <v>6398</v>
      </c>
      <c r="AE277" s="81" t="s">
        <v>6043</v>
      </c>
      <c r="AF277" s="76">
        <v>50</v>
      </c>
      <c r="AG277" s="76">
        <v>241</v>
      </c>
      <c r="AH277" s="76">
        <v>145</v>
      </c>
      <c r="AI277" s="76">
        <v>1</v>
      </c>
      <c r="AJ277" s="76">
        <v>90</v>
      </c>
      <c r="AK277" s="76">
        <v>45</v>
      </c>
      <c r="AL277" s="76" t="b">
        <v>0</v>
      </c>
      <c r="AM277" s="78">
        <v>44207.701493055552</v>
      </c>
      <c r="AN277" s="76" t="s">
        <v>3752</v>
      </c>
      <c r="AO277" s="76" t="s">
        <v>6918</v>
      </c>
      <c r="AP277" s="83" t="str">
        <f>HYPERLINK("https://t.co/eNIN2E0ZSX")</f>
        <v>https://t.co/eNIN2E0ZSX</v>
      </c>
      <c r="AQ277" s="83" t="str">
        <f>HYPERLINK("https://medium.com/@tatamonet1")</f>
        <v>https://medium.com/@tatamonet1</v>
      </c>
      <c r="AR277" s="76" t="s">
        <v>7148</v>
      </c>
      <c r="AS277" s="83" t="str">
        <f>HYPERLINK("https://t.co/aGLJdjRwKI")</f>
        <v>https://t.co/aGLJdjRwKI</v>
      </c>
      <c r="AT277" s="83" t="str">
        <f>HYPERLINK("http://tamoneyreview.medium.com")</f>
        <v>http://tamoneyreview.medium.com</v>
      </c>
      <c r="AU277" s="76" t="s">
        <v>7240</v>
      </c>
      <c r="AV277" s="76">
        <v>1.70171956117361E+18</v>
      </c>
      <c r="AW277" s="83" t="str">
        <f>HYPERLINK("https://t.co/eNIN2E0ZSX")</f>
        <v>https://t.co/eNIN2E0ZSX</v>
      </c>
      <c r="AX277" s="76" t="b">
        <v>0</v>
      </c>
      <c r="AY277" s="76"/>
      <c r="AZ277" s="76"/>
      <c r="BA277" s="76" t="b">
        <v>0</v>
      </c>
      <c r="BB277" s="76" t="b">
        <v>1</v>
      </c>
      <c r="BC277" s="76" t="b">
        <v>1</v>
      </c>
      <c r="BD277" s="76" t="b">
        <v>0</v>
      </c>
      <c r="BE277" s="76" t="b">
        <v>0</v>
      </c>
      <c r="BF277" s="76" t="b">
        <v>0</v>
      </c>
      <c r="BG277" s="76" t="b">
        <v>0</v>
      </c>
      <c r="BH277" s="83" t="str">
        <f>HYPERLINK("https://pbs.twimg.com/profile_banners/1348673418057703424/1690924530")</f>
        <v>https://pbs.twimg.com/profile_banners/1348673418057703424/1690924530</v>
      </c>
      <c r="BI277" s="76"/>
      <c r="BJ277" s="76" t="s">
        <v>7245</v>
      </c>
      <c r="BK277" s="76" t="b">
        <v>0</v>
      </c>
      <c r="BL277" s="76"/>
      <c r="BM277" s="76" t="s">
        <v>66</v>
      </c>
      <c r="BN277" s="76" t="s">
        <v>7247</v>
      </c>
      <c r="BO277" s="83" t="str">
        <f>HYPERLINK("https://twitter.com/tamoneyoficial")</f>
        <v>https://twitter.com/tamoneyoficial</v>
      </c>
      <c r="BP277" s="2"/>
    </row>
    <row r="278" spans="1:68" x14ac:dyDescent="0.25">
      <c r="A278" s="62" t="s">
        <v>520</v>
      </c>
      <c r="B278" s="63"/>
      <c r="C278" s="63"/>
      <c r="D278" s="64"/>
      <c r="E278" s="66"/>
      <c r="F278" s="102" t="str">
        <f>HYPERLINK("https://pbs.twimg.com/profile_images/1643053578498572288/6gQLtHTS_normal.jpg")</f>
        <v>https://pbs.twimg.com/profile_images/1643053578498572288/6gQLtHTS_normal.jpg</v>
      </c>
      <c r="G278" s="63"/>
      <c r="H278" s="67"/>
      <c r="I278" s="68"/>
      <c r="J278" s="68"/>
      <c r="K278" s="67" t="s">
        <v>7522</v>
      </c>
      <c r="L278" s="71"/>
      <c r="M278" s="72"/>
      <c r="N278" s="72"/>
      <c r="O278" s="73"/>
      <c r="P278" s="74"/>
      <c r="Q278" s="74"/>
      <c r="R278" s="86"/>
      <c r="S278" s="86"/>
      <c r="T278" s="86"/>
      <c r="U278" s="86"/>
      <c r="V278" s="48"/>
      <c r="W278" s="48"/>
      <c r="X278" s="48"/>
      <c r="Y278" s="48"/>
      <c r="Z278" s="47"/>
      <c r="AA278" s="69">
        <v>278</v>
      </c>
      <c r="AB278" s="69"/>
      <c r="AC278" s="70"/>
      <c r="AD278" s="76" t="s">
        <v>6399</v>
      </c>
      <c r="AE278" s="81" t="s">
        <v>6067</v>
      </c>
      <c r="AF278" s="76">
        <v>1118953</v>
      </c>
      <c r="AG278" s="76">
        <v>184</v>
      </c>
      <c r="AH278" s="76">
        <v>14295</v>
      </c>
      <c r="AI278" s="76">
        <v>438</v>
      </c>
      <c r="AJ278" s="76">
        <v>1768</v>
      </c>
      <c r="AK278" s="76">
        <v>624</v>
      </c>
      <c r="AL278" s="76" t="b">
        <v>0</v>
      </c>
      <c r="AM278" s="78">
        <v>43855.099733796298</v>
      </c>
      <c r="AN278" s="76" t="s">
        <v>3752</v>
      </c>
      <c r="AO278" s="76" t="s">
        <v>6919</v>
      </c>
      <c r="AP278" s="83" t="str">
        <f>HYPERLINK("https://t.co/1p6hcO1QkS")</f>
        <v>https://t.co/1p6hcO1QkS</v>
      </c>
      <c r="AQ278" s="83" t="str">
        <f>HYPERLINK("http://wb.futurizando.com")</f>
        <v>http://wb.futurizando.com</v>
      </c>
      <c r="AR278" s="76" t="s">
        <v>7149</v>
      </c>
      <c r="AS278" s="76"/>
      <c r="AT278" s="76"/>
      <c r="AU278" s="76"/>
      <c r="AV278" s="76">
        <v>1.7031888633912599E+18</v>
      </c>
      <c r="AW278" s="83" t="str">
        <f>HYPERLINK("https://t.co/1p6hcO1QkS")</f>
        <v>https://t.co/1p6hcO1QkS</v>
      </c>
      <c r="AX278" s="76" t="b">
        <v>1</v>
      </c>
      <c r="AY278" s="76"/>
      <c r="AZ278" s="76"/>
      <c r="BA278" s="76" t="b">
        <v>1</v>
      </c>
      <c r="BB278" s="76" t="b">
        <v>0</v>
      </c>
      <c r="BC278" s="76" t="b">
        <v>1</v>
      </c>
      <c r="BD278" s="76" t="b">
        <v>0</v>
      </c>
      <c r="BE278" s="76" t="b">
        <v>1</v>
      </c>
      <c r="BF278" s="76" t="b">
        <v>0</v>
      </c>
      <c r="BG278" s="76" t="b">
        <v>0</v>
      </c>
      <c r="BH278" s="83" t="str">
        <f>HYPERLINK("https://pbs.twimg.com/profile_banners/1220894892827856896/1660669708")</f>
        <v>https://pbs.twimg.com/profile_banners/1220894892827856896/1660669708</v>
      </c>
      <c r="BI278" s="76"/>
      <c r="BJ278" s="76" t="s">
        <v>7245</v>
      </c>
      <c r="BK278" s="76" t="b">
        <v>0</v>
      </c>
      <c r="BL278" s="76"/>
      <c r="BM278" s="76" t="s">
        <v>66</v>
      </c>
      <c r="BN278" s="76" t="s">
        <v>7247</v>
      </c>
      <c r="BO278" s="83" t="str">
        <f>HYPERLINK("https://twitter.com/futurizando_")</f>
        <v>https://twitter.com/futurizando_</v>
      </c>
      <c r="BP278" s="2"/>
    </row>
    <row r="279" spans="1:68" x14ac:dyDescent="0.25">
      <c r="A279" s="62" t="s">
        <v>487</v>
      </c>
      <c r="B279" s="63"/>
      <c r="C279" s="63"/>
      <c r="D279" s="64"/>
      <c r="E279" s="66"/>
      <c r="F279" s="102" t="str">
        <f>HYPERLINK("https://pbs.twimg.com/profile_images/1670592241243508737/jq_HMW9j_normal.jpg")</f>
        <v>https://pbs.twimg.com/profile_images/1670592241243508737/jq_HMW9j_normal.jpg</v>
      </c>
      <c r="G279" s="63"/>
      <c r="H279" s="67"/>
      <c r="I279" s="68"/>
      <c r="J279" s="68"/>
      <c r="K279" s="67" t="s">
        <v>7523</v>
      </c>
      <c r="L279" s="71"/>
      <c r="M279" s="72"/>
      <c r="N279" s="72"/>
      <c r="O279" s="73"/>
      <c r="P279" s="74"/>
      <c r="Q279" s="74"/>
      <c r="R279" s="86"/>
      <c r="S279" s="86"/>
      <c r="T279" s="86"/>
      <c r="U279" s="86"/>
      <c r="V279" s="48"/>
      <c r="W279" s="48"/>
      <c r="X279" s="48"/>
      <c r="Y279" s="48"/>
      <c r="Z279" s="47"/>
      <c r="AA279" s="69">
        <v>279</v>
      </c>
      <c r="AB279" s="69"/>
      <c r="AC279" s="70"/>
      <c r="AD279" s="76" t="s">
        <v>6400</v>
      </c>
      <c r="AE279" s="81" t="s">
        <v>6044</v>
      </c>
      <c r="AF279" s="76">
        <v>1</v>
      </c>
      <c r="AG279" s="76">
        <v>11</v>
      </c>
      <c r="AH279" s="76">
        <v>50</v>
      </c>
      <c r="AI279" s="76">
        <v>0</v>
      </c>
      <c r="AJ279" s="76">
        <v>1</v>
      </c>
      <c r="AK279" s="76">
        <v>5</v>
      </c>
      <c r="AL279" s="76" t="b">
        <v>0</v>
      </c>
      <c r="AM279" s="78">
        <v>45095.855162037034</v>
      </c>
      <c r="AN279" s="76" t="s">
        <v>3752</v>
      </c>
      <c r="AO279" s="76" t="s">
        <v>6920</v>
      </c>
      <c r="AP279" s="83" t="str">
        <f>HYPERLINK("https://t.co/0bUJzawooG")</f>
        <v>https://t.co/0bUJzawooG</v>
      </c>
      <c r="AQ279" s="83" t="str">
        <f>HYPERLINK("http://www.gptdinheiro.com.br")</f>
        <v>http://www.gptdinheiro.com.br</v>
      </c>
      <c r="AR279" s="76" t="s">
        <v>7150</v>
      </c>
      <c r="AS279" s="76"/>
      <c r="AT279" s="76"/>
      <c r="AU279" s="76"/>
      <c r="AV279" s="76"/>
      <c r="AW279" s="83" t="str">
        <f>HYPERLINK("https://t.co/0bUJzawooG")</f>
        <v>https://t.co/0bUJzawooG</v>
      </c>
      <c r="AX279" s="76" t="b">
        <v>0</v>
      </c>
      <c r="AY279" s="76"/>
      <c r="AZ279" s="76"/>
      <c r="BA279" s="76" t="b">
        <v>0</v>
      </c>
      <c r="BB279" s="76" t="b">
        <v>1</v>
      </c>
      <c r="BC279" s="76" t="b">
        <v>1</v>
      </c>
      <c r="BD279" s="76" t="b">
        <v>0</v>
      </c>
      <c r="BE279" s="76" t="b">
        <v>0</v>
      </c>
      <c r="BF279" s="76" t="b">
        <v>0</v>
      </c>
      <c r="BG279" s="76" t="b">
        <v>0</v>
      </c>
      <c r="BH279" s="83" t="str">
        <f>HYPERLINK("https://pbs.twimg.com/profile_banners/1670529645895098369/1687135224")</f>
        <v>https://pbs.twimg.com/profile_banners/1670529645895098369/1687135224</v>
      </c>
      <c r="BI279" s="76"/>
      <c r="BJ279" s="76" t="s">
        <v>7245</v>
      </c>
      <c r="BK279" s="76" t="b">
        <v>0</v>
      </c>
      <c r="BL279" s="76"/>
      <c r="BM279" s="76" t="s">
        <v>66</v>
      </c>
      <c r="BN279" s="76" t="s">
        <v>7247</v>
      </c>
      <c r="BO279" s="83" t="str">
        <f>HYPERLINK("https://twitter.com/gptdinheiro")</f>
        <v>https://twitter.com/gptdinheiro</v>
      </c>
      <c r="BP279" s="2"/>
    </row>
    <row r="280" spans="1:68" x14ac:dyDescent="0.25">
      <c r="A280" s="62" t="s">
        <v>488</v>
      </c>
      <c r="B280" s="63"/>
      <c r="C280" s="63"/>
      <c r="D280" s="64"/>
      <c r="E280" s="66"/>
      <c r="F280" s="102" t="str">
        <f>HYPERLINK("https://pbs.twimg.com/profile_images/1678106229149777927/3RLQvONM_normal.jpg")</f>
        <v>https://pbs.twimg.com/profile_images/1678106229149777927/3RLQvONM_normal.jpg</v>
      </c>
      <c r="G280" s="63"/>
      <c r="H280" s="67"/>
      <c r="I280" s="68"/>
      <c r="J280" s="68"/>
      <c r="K280" s="67" t="s">
        <v>7524</v>
      </c>
      <c r="L280" s="71"/>
      <c r="M280" s="72"/>
      <c r="N280" s="72"/>
      <c r="O280" s="73"/>
      <c r="P280" s="74"/>
      <c r="Q280" s="74"/>
      <c r="R280" s="86"/>
      <c r="S280" s="86"/>
      <c r="T280" s="86"/>
      <c r="U280" s="86"/>
      <c r="V280" s="48"/>
      <c r="W280" s="48"/>
      <c r="X280" s="48"/>
      <c r="Y280" s="48"/>
      <c r="Z280" s="47"/>
      <c r="AA280" s="69">
        <v>280</v>
      </c>
      <c r="AB280" s="69"/>
      <c r="AC280" s="70"/>
      <c r="AD280" s="76" t="s">
        <v>6401</v>
      </c>
      <c r="AE280" s="81" t="s">
        <v>6045</v>
      </c>
      <c r="AF280" s="76">
        <v>0</v>
      </c>
      <c r="AG280" s="76">
        <v>1</v>
      </c>
      <c r="AH280" s="76">
        <v>6</v>
      </c>
      <c r="AI280" s="76">
        <v>0</v>
      </c>
      <c r="AJ280" s="76">
        <v>0</v>
      </c>
      <c r="AK280" s="76">
        <v>6</v>
      </c>
      <c r="AL280" s="76" t="b">
        <v>0</v>
      </c>
      <c r="AM280" s="78">
        <v>44904.607928240737</v>
      </c>
      <c r="AN280" s="76" t="s">
        <v>3760</v>
      </c>
      <c r="AO280" s="76" t="s">
        <v>6921</v>
      </c>
      <c r="AP280" s="83" t="str">
        <f>HYPERLINK("https://t.co/DWEIl8E1j0")</f>
        <v>https://t.co/DWEIl8E1j0</v>
      </c>
      <c r="AQ280" s="83" t="str">
        <f>HYPERLINK("https://pay.kiwify.com.br/Ud81dpH")</f>
        <v>https://pay.kiwify.com.br/Ud81dpH</v>
      </c>
      <c r="AR280" s="76" t="s">
        <v>7151</v>
      </c>
      <c r="AS280" s="76"/>
      <c r="AT280" s="76"/>
      <c r="AU280" s="76"/>
      <c r="AV280" s="76"/>
      <c r="AW280" s="83" t="str">
        <f>HYPERLINK("https://t.co/DWEIl8E1j0")</f>
        <v>https://t.co/DWEIl8E1j0</v>
      </c>
      <c r="AX280" s="76" t="b">
        <v>0</v>
      </c>
      <c r="AY280" s="76"/>
      <c r="AZ280" s="76"/>
      <c r="BA280" s="76" t="b">
        <v>0</v>
      </c>
      <c r="BB280" s="76" t="b">
        <v>1</v>
      </c>
      <c r="BC280" s="76" t="b">
        <v>1</v>
      </c>
      <c r="BD280" s="76" t="b">
        <v>0</v>
      </c>
      <c r="BE280" s="76" t="b">
        <v>0</v>
      </c>
      <c r="BF280" s="76" t="b">
        <v>0</v>
      </c>
      <c r="BG280" s="76" t="b">
        <v>0</v>
      </c>
      <c r="BH280" s="83" t="str">
        <f>HYPERLINK("https://pbs.twimg.com/profile_banners/1601223966475141123/1689088465")</f>
        <v>https://pbs.twimg.com/profile_banners/1601223966475141123/1689088465</v>
      </c>
      <c r="BI280" s="76"/>
      <c r="BJ280" s="76" t="s">
        <v>7245</v>
      </c>
      <c r="BK280" s="76" t="b">
        <v>0</v>
      </c>
      <c r="BL280" s="76"/>
      <c r="BM280" s="76" t="s">
        <v>66</v>
      </c>
      <c r="BN280" s="76" t="s">
        <v>7247</v>
      </c>
      <c r="BO280" s="83" t="str">
        <f>HYPERLINK("https://twitter.com/suporteebook")</f>
        <v>https://twitter.com/suporteebook</v>
      </c>
      <c r="BP280" s="2"/>
    </row>
    <row r="281" spans="1:68" x14ac:dyDescent="0.25">
      <c r="A281" s="62" t="s">
        <v>489</v>
      </c>
      <c r="B281" s="63"/>
      <c r="C281" s="63"/>
      <c r="D281" s="64"/>
      <c r="E281" s="66"/>
      <c r="F281" s="102" t="str">
        <f>HYPERLINK("https://pbs.twimg.com/profile_images/1704225855604416513/dUrycJYY_normal.jpg")</f>
        <v>https://pbs.twimg.com/profile_images/1704225855604416513/dUrycJYY_normal.jpg</v>
      </c>
      <c r="G281" s="63"/>
      <c r="H281" s="67"/>
      <c r="I281" s="68"/>
      <c r="J281" s="68"/>
      <c r="K281" s="67" t="s">
        <v>7525</v>
      </c>
      <c r="L281" s="71"/>
      <c r="M281" s="72"/>
      <c r="N281" s="72"/>
      <c r="O281" s="73"/>
      <c r="P281" s="74"/>
      <c r="Q281" s="74"/>
      <c r="R281" s="86"/>
      <c r="S281" s="86"/>
      <c r="T281" s="86"/>
      <c r="U281" s="86"/>
      <c r="V281" s="48"/>
      <c r="W281" s="48"/>
      <c r="X281" s="48"/>
      <c r="Y281" s="48"/>
      <c r="Z281" s="47"/>
      <c r="AA281" s="69">
        <v>281</v>
      </c>
      <c r="AB281" s="69"/>
      <c r="AC281" s="70"/>
      <c r="AD281" s="76" t="s">
        <v>6402</v>
      </c>
      <c r="AE281" s="81" t="s">
        <v>6046</v>
      </c>
      <c r="AF281" s="76">
        <v>13</v>
      </c>
      <c r="AG281" s="76">
        <v>214</v>
      </c>
      <c r="AH281" s="76">
        <v>65</v>
      </c>
      <c r="AI281" s="76">
        <v>0</v>
      </c>
      <c r="AJ281" s="76">
        <v>3</v>
      </c>
      <c r="AK281" s="76">
        <v>62</v>
      </c>
      <c r="AL281" s="76" t="b">
        <v>0</v>
      </c>
      <c r="AM281" s="78">
        <v>45077.054930555554</v>
      </c>
      <c r="AN281" s="76"/>
      <c r="AO281" s="76" t="s">
        <v>6922</v>
      </c>
      <c r="AP281" s="83" t="str">
        <f>HYPERLINK("https://t.co/lZ55fyLkr7")</f>
        <v>https://t.co/lZ55fyLkr7</v>
      </c>
      <c r="AQ281" s="83" t="str">
        <f>HYPERLINK("http://wa.me/5511973213048")</f>
        <v>http://wa.me/5511973213048</v>
      </c>
      <c r="AR281" s="76" t="s">
        <v>7152</v>
      </c>
      <c r="AS281" s="76"/>
      <c r="AT281" s="76"/>
      <c r="AU281" s="76"/>
      <c r="AV281" s="76"/>
      <c r="AW281" s="83" t="str">
        <f>HYPERLINK("https://t.co/lZ55fyLkr7")</f>
        <v>https://t.co/lZ55fyLkr7</v>
      </c>
      <c r="AX281" s="76" t="b">
        <v>0</v>
      </c>
      <c r="AY281" s="76"/>
      <c r="AZ281" s="76"/>
      <c r="BA281" s="76" t="b">
        <v>1</v>
      </c>
      <c r="BB281" s="76" t="b">
        <v>1</v>
      </c>
      <c r="BC281" s="76" t="b">
        <v>1</v>
      </c>
      <c r="BD281" s="76" t="b">
        <v>0</v>
      </c>
      <c r="BE281" s="76" t="b">
        <v>0</v>
      </c>
      <c r="BF281" s="76" t="b">
        <v>0</v>
      </c>
      <c r="BG281" s="76" t="b">
        <v>0</v>
      </c>
      <c r="BH281" s="83" t="str">
        <f>HYPERLINK("https://pbs.twimg.com/profile_banners/1663716530788487168/1695154093")</f>
        <v>https://pbs.twimg.com/profile_banners/1663716530788487168/1695154093</v>
      </c>
      <c r="BI281" s="76"/>
      <c r="BJ281" s="76" t="s">
        <v>7245</v>
      </c>
      <c r="BK281" s="76" t="b">
        <v>0</v>
      </c>
      <c r="BL281" s="76"/>
      <c r="BM281" s="76" t="s">
        <v>66</v>
      </c>
      <c r="BN281" s="76" t="s">
        <v>7247</v>
      </c>
      <c r="BO281" s="83" t="str">
        <f>HYPERLINK("https://twitter.com/cartaoclonadonf")</f>
        <v>https://twitter.com/cartaoclonadonf</v>
      </c>
      <c r="BP281" s="2"/>
    </row>
    <row r="282" spans="1:68" x14ac:dyDescent="0.25">
      <c r="A282" s="62" t="s">
        <v>490</v>
      </c>
      <c r="B282" s="63"/>
      <c r="C282" s="63"/>
      <c r="D282" s="64"/>
      <c r="E282" s="66"/>
      <c r="F282" s="102" t="str">
        <f>HYPERLINK("https://pbs.twimg.com/profile_images/1699785566504816640/kujlKd9q_normal.jpg")</f>
        <v>https://pbs.twimg.com/profile_images/1699785566504816640/kujlKd9q_normal.jpg</v>
      </c>
      <c r="G282" s="63"/>
      <c r="H282" s="67"/>
      <c r="I282" s="68"/>
      <c r="J282" s="68"/>
      <c r="K282" s="67" t="s">
        <v>7526</v>
      </c>
      <c r="L282" s="71"/>
      <c r="M282" s="72"/>
      <c r="N282" s="72"/>
      <c r="O282" s="73"/>
      <c r="P282" s="74"/>
      <c r="Q282" s="74"/>
      <c r="R282" s="86"/>
      <c r="S282" s="86"/>
      <c r="T282" s="86"/>
      <c r="U282" s="86"/>
      <c r="V282" s="48"/>
      <c r="W282" s="48"/>
      <c r="X282" s="48"/>
      <c r="Y282" s="48"/>
      <c r="Z282" s="47"/>
      <c r="AA282" s="69">
        <v>282</v>
      </c>
      <c r="AB282" s="69"/>
      <c r="AC282" s="70"/>
      <c r="AD282" s="76" t="s">
        <v>6403</v>
      </c>
      <c r="AE282" s="81" t="s">
        <v>6047</v>
      </c>
      <c r="AF282" s="76">
        <v>0</v>
      </c>
      <c r="AG282" s="76">
        <v>1</v>
      </c>
      <c r="AH282" s="76">
        <v>10</v>
      </c>
      <c r="AI282" s="76">
        <v>0</v>
      </c>
      <c r="AJ282" s="76">
        <v>5</v>
      </c>
      <c r="AK282" s="76">
        <v>4</v>
      </c>
      <c r="AL282" s="76" t="b">
        <v>0</v>
      </c>
      <c r="AM282" s="78">
        <v>45176.580462962964</v>
      </c>
      <c r="AN282" s="76"/>
      <c r="AO282" s="76" t="s">
        <v>6923</v>
      </c>
      <c r="AP282" s="83" t="str">
        <f>HYPERLINK("https://t.co/bIPqism33B")</f>
        <v>https://t.co/bIPqism33B</v>
      </c>
      <c r="AQ282" s="83" t="str">
        <f>HYPERLINK("https://kiwify.app/velJGLO?afid=YjvQ04Pf")</f>
        <v>https://kiwify.app/velJGLO?afid=YjvQ04Pf</v>
      </c>
      <c r="AR282" s="76" t="s">
        <v>7153</v>
      </c>
      <c r="AS282" s="76"/>
      <c r="AT282" s="76"/>
      <c r="AU282" s="76"/>
      <c r="AV282" s="76"/>
      <c r="AW282" s="83" t="str">
        <f>HYPERLINK("https://t.co/bIPqism33B")</f>
        <v>https://t.co/bIPqism33B</v>
      </c>
      <c r="AX282" s="76" t="b">
        <v>0</v>
      </c>
      <c r="AY282" s="76"/>
      <c r="AZ282" s="76"/>
      <c r="BA282" s="76" t="b">
        <v>0</v>
      </c>
      <c r="BB282" s="76" t="b">
        <v>1</v>
      </c>
      <c r="BC282" s="76" t="b">
        <v>1</v>
      </c>
      <c r="BD282" s="76" t="b">
        <v>0</v>
      </c>
      <c r="BE282" s="76" t="b">
        <v>0</v>
      </c>
      <c r="BF282" s="76" t="b">
        <v>0</v>
      </c>
      <c r="BG282" s="76" t="b">
        <v>0</v>
      </c>
      <c r="BH282" s="83" t="str">
        <f>HYPERLINK("https://pbs.twimg.com/profile_banners/1699783432593960960/1694095743")</f>
        <v>https://pbs.twimg.com/profile_banners/1699783432593960960/1694095743</v>
      </c>
      <c r="BI282" s="76"/>
      <c r="BJ282" s="76" t="s">
        <v>7245</v>
      </c>
      <c r="BK282" s="76" t="b">
        <v>0</v>
      </c>
      <c r="BL282" s="76"/>
      <c r="BM282" s="76" t="s">
        <v>66</v>
      </c>
      <c r="BN282" s="76" t="s">
        <v>7247</v>
      </c>
      <c r="BO282" s="83" t="str">
        <f>HYPERLINK("https://twitter.com/i_monetaria")</f>
        <v>https://twitter.com/i_monetaria</v>
      </c>
      <c r="BP282" s="2"/>
    </row>
    <row r="283" spans="1:68" x14ac:dyDescent="0.25">
      <c r="A283" s="62" t="s">
        <v>491</v>
      </c>
      <c r="B283" s="63"/>
      <c r="C283" s="63"/>
      <c r="D283" s="64"/>
      <c r="E283" s="66"/>
      <c r="F283" s="102" t="str">
        <f>HYPERLINK("https://pbs.twimg.com/profile_images/1674553433351770117/_lDm-YYg_normal.jpg")</f>
        <v>https://pbs.twimg.com/profile_images/1674553433351770117/_lDm-YYg_normal.jpg</v>
      </c>
      <c r="G283" s="63"/>
      <c r="H283" s="67"/>
      <c r="I283" s="68"/>
      <c r="J283" s="68"/>
      <c r="K283" s="67" t="s">
        <v>7527</v>
      </c>
      <c r="L283" s="71"/>
      <c r="M283" s="72"/>
      <c r="N283" s="72"/>
      <c r="O283" s="73"/>
      <c r="P283" s="74"/>
      <c r="Q283" s="74"/>
      <c r="R283" s="86"/>
      <c r="S283" s="86"/>
      <c r="T283" s="86"/>
      <c r="U283" s="86"/>
      <c r="V283" s="48"/>
      <c r="W283" s="48"/>
      <c r="X283" s="48"/>
      <c r="Y283" s="48"/>
      <c r="Z283" s="47"/>
      <c r="AA283" s="69">
        <v>283</v>
      </c>
      <c r="AB283" s="69"/>
      <c r="AC283" s="70"/>
      <c r="AD283" s="76" t="s">
        <v>6404</v>
      </c>
      <c r="AE283" s="81" t="s">
        <v>6048</v>
      </c>
      <c r="AF283" s="76">
        <v>85</v>
      </c>
      <c r="AG283" s="76">
        <v>234</v>
      </c>
      <c r="AH283" s="76">
        <v>43</v>
      </c>
      <c r="AI283" s="76">
        <v>0</v>
      </c>
      <c r="AJ283" s="76">
        <v>0</v>
      </c>
      <c r="AK283" s="76">
        <v>43</v>
      </c>
      <c r="AL283" s="76" t="b">
        <v>0</v>
      </c>
      <c r="AM283" s="78">
        <v>45106.954652777778</v>
      </c>
      <c r="AN283" s="76" t="s">
        <v>3752</v>
      </c>
      <c r="AO283" s="76" t="s">
        <v>6924</v>
      </c>
      <c r="AP283" s="83" t="str">
        <f>HYPERLINK("https://t.co/juYHV8wqmd")</f>
        <v>https://t.co/juYHV8wqmd</v>
      </c>
      <c r="AQ283" s="83" t="str">
        <f>HYPERLINK("https://kiwify.app/LJaXYlB")</f>
        <v>https://kiwify.app/LJaXYlB</v>
      </c>
      <c r="AR283" s="76" t="s">
        <v>7154</v>
      </c>
      <c r="AS283" s="76"/>
      <c r="AT283" s="76"/>
      <c r="AU283" s="76"/>
      <c r="AV283" s="76"/>
      <c r="AW283" s="83" t="str">
        <f>HYPERLINK("https://t.co/juYHV8wqmd")</f>
        <v>https://t.co/juYHV8wqmd</v>
      </c>
      <c r="AX283" s="76" t="b">
        <v>0</v>
      </c>
      <c r="AY283" s="76"/>
      <c r="AZ283" s="76"/>
      <c r="BA283" s="76" t="b">
        <v>0</v>
      </c>
      <c r="BB283" s="76" t="b">
        <v>1</v>
      </c>
      <c r="BC283" s="76" t="b">
        <v>1</v>
      </c>
      <c r="BD283" s="76" t="b">
        <v>0</v>
      </c>
      <c r="BE283" s="76" t="b">
        <v>0</v>
      </c>
      <c r="BF283" s="76" t="b">
        <v>0</v>
      </c>
      <c r="BG283" s="76" t="b">
        <v>0</v>
      </c>
      <c r="BH283" s="83" t="str">
        <f>HYPERLINK("https://pbs.twimg.com/profile_banners/1674551834323607557/1688079628")</f>
        <v>https://pbs.twimg.com/profile_banners/1674551834323607557/1688079628</v>
      </c>
      <c r="BI283" s="76"/>
      <c r="BJ283" s="76" t="s">
        <v>7245</v>
      </c>
      <c r="BK283" s="76" t="b">
        <v>0</v>
      </c>
      <c r="BL283" s="76"/>
      <c r="BM283" s="76" t="s">
        <v>66</v>
      </c>
      <c r="BN283" s="76" t="s">
        <v>7247</v>
      </c>
      <c r="BO283" s="83" t="str">
        <f>HYPERLINK("https://twitter.com/homeprofissao")</f>
        <v>https://twitter.com/homeprofissao</v>
      </c>
      <c r="BP283" s="2"/>
    </row>
    <row r="284" spans="1:68" x14ac:dyDescent="0.25">
      <c r="A284" s="62" t="s">
        <v>492</v>
      </c>
      <c r="B284" s="63"/>
      <c r="C284" s="63"/>
      <c r="D284" s="64"/>
      <c r="E284" s="66"/>
      <c r="F284" s="102" t="str">
        <f>HYPERLINK("https://pbs.twimg.com/profile_images/1691581877725908992/5Yy2k_im_normal.jpg")</f>
        <v>https://pbs.twimg.com/profile_images/1691581877725908992/5Yy2k_im_normal.jpg</v>
      </c>
      <c r="G284" s="63"/>
      <c r="H284" s="67"/>
      <c r="I284" s="68"/>
      <c r="J284" s="68"/>
      <c r="K284" s="67" t="s">
        <v>7528</v>
      </c>
      <c r="L284" s="71"/>
      <c r="M284" s="72"/>
      <c r="N284" s="72"/>
      <c r="O284" s="73"/>
      <c r="P284" s="74"/>
      <c r="Q284" s="74"/>
      <c r="R284" s="86"/>
      <c r="S284" s="86"/>
      <c r="T284" s="86"/>
      <c r="U284" s="86"/>
      <c r="V284" s="48"/>
      <c r="W284" s="48"/>
      <c r="X284" s="48"/>
      <c r="Y284" s="48"/>
      <c r="Z284" s="47"/>
      <c r="AA284" s="69">
        <v>284</v>
      </c>
      <c r="AB284" s="69"/>
      <c r="AC284" s="70"/>
      <c r="AD284" s="76" t="s">
        <v>6405</v>
      </c>
      <c r="AE284" s="81" t="s">
        <v>6049</v>
      </c>
      <c r="AF284" s="76">
        <v>1998</v>
      </c>
      <c r="AG284" s="76">
        <v>19</v>
      </c>
      <c r="AH284" s="76">
        <v>220</v>
      </c>
      <c r="AI284" s="76">
        <v>0</v>
      </c>
      <c r="AJ284" s="76">
        <v>48</v>
      </c>
      <c r="AK284" s="76">
        <v>192</v>
      </c>
      <c r="AL284" s="76" t="b">
        <v>0</v>
      </c>
      <c r="AM284" s="78">
        <v>44520.7656712963</v>
      </c>
      <c r="AN284" s="76" t="s">
        <v>3760</v>
      </c>
      <c r="AO284" s="76" t="s">
        <v>6925</v>
      </c>
      <c r="AP284" s="83" t="str">
        <f>HYPERLINK("https://t.co/mfmeSiVhtn")</f>
        <v>https://t.co/mfmeSiVhtn</v>
      </c>
      <c r="AQ284" s="83" t="str">
        <f>HYPERLINK("https://www.rodrigofalasobre.com.br/")</f>
        <v>https://www.rodrigofalasobre.com.br/</v>
      </c>
      <c r="AR284" s="76" t="s">
        <v>7155</v>
      </c>
      <c r="AS284" s="76"/>
      <c r="AT284" s="76"/>
      <c r="AU284" s="76"/>
      <c r="AV284" s="76"/>
      <c r="AW284" s="83" t="str">
        <f>HYPERLINK("https://t.co/mfmeSiVhtn")</f>
        <v>https://t.co/mfmeSiVhtn</v>
      </c>
      <c r="AX284" s="76" t="b">
        <v>0</v>
      </c>
      <c r="AY284" s="76"/>
      <c r="AZ284" s="76"/>
      <c r="BA284" s="76" t="b">
        <v>0</v>
      </c>
      <c r="BB284" s="76" t="b">
        <v>1</v>
      </c>
      <c r="BC284" s="76" t="b">
        <v>1</v>
      </c>
      <c r="BD284" s="76" t="b">
        <v>0</v>
      </c>
      <c r="BE284" s="76" t="b">
        <v>0</v>
      </c>
      <c r="BF284" s="76" t="b">
        <v>0</v>
      </c>
      <c r="BG284" s="76" t="b">
        <v>0</v>
      </c>
      <c r="BH284" s="83" t="str">
        <f>HYPERLINK("https://pbs.twimg.com/profile_banners/1462123907419410437/1692139758")</f>
        <v>https://pbs.twimg.com/profile_banners/1462123907419410437/1692139758</v>
      </c>
      <c r="BI284" s="76"/>
      <c r="BJ284" s="76" t="s">
        <v>7245</v>
      </c>
      <c r="BK284" s="76" t="b">
        <v>0</v>
      </c>
      <c r="BL284" s="76"/>
      <c r="BM284" s="76" t="s">
        <v>66</v>
      </c>
      <c r="BN284" s="76" t="s">
        <v>7247</v>
      </c>
      <c r="BO284" s="83" t="str">
        <f>HYPERLINK("https://twitter.com/sobre_rodrigo")</f>
        <v>https://twitter.com/sobre_rodrigo</v>
      </c>
      <c r="BP284" s="2"/>
    </row>
    <row r="285" spans="1:68" x14ac:dyDescent="0.25">
      <c r="A285" s="62" t="s">
        <v>493</v>
      </c>
      <c r="B285" s="63"/>
      <c r="C285" s="63"/>
      <c r="D285" s="64"/>
      <c r="E285" s="66"/>
      <c r="F285" s="102" t="str">
        <f>HYPERLINK("https://pbs.twimg.com/profile_images/1663842364060758020/VT-Ld8el_normal.jpg")</f>
        <v>https://pbs.twimg.com/profile_images/1663842364060758020/VT-Ld8el_normal.jpg</v>
      </c>
      <c r="G285" s="63"/>
      <c r="H285" s="67"/>
      <c r="I285" s="68"/>
      <c r="J285" s="68"/>
      <c r="K285" s="67" t="s">
        <v>7529</v>
      </c>
      <c r="L285" s="71"/>
      <c r="M285" s="72"/>
      <c r="N285" s="72"/>
      <c r="O285" s="73"/>
      <c r="P285" s="74"/>
      <c r="Q285" s="74"/>
      <c r="R285" s="86"/>
      <c r="S285" s="86"/>
      <c r="T285" s="86"/>
      <c r="U285" s="86"/>
      <c r="V285" s="48"/>
      <c r="W285" s="48"/>
      <c r="X285" s="48"/>
      <c r="Y285" s="48"/>
      <c r="Z285" s="47"/>
      <c r="AA285" s="69">
        <v>285</v>
      </c>
      <c r="AB285" s="69"/>
      <c r="AC285" s="70"/>
      <c r="AD285" s="76" t="s">
        <v>6406</v>
      </c>
      <c r="AE285" s="81" t="s">
        <v>6050</v>
      </c>
      <c r="AF285" s="76">
        <v>6</v>
      </c>
      <c r="AG285" s="76">
        <v>12</v>
      </c>
      <c r="AH285" s="76">
        <v>120</v>
      </c>
      <c r="AI285" s="76">
        <v>0</v>
      </c>
      <c r="AJ285" s="76">
        <v>468</v>
      </c>
      <c r="AK285" s="76">
        <v>44</v>
      </c>
      <c r="AL285" s="76" t="b">
        <v>0</v>
      </c>
      <c r="AM285" s="78">
        <v>43908.824733796297</v>
      </c>
      <c r="AN285" s="76" t="s">
        <v>3752</v>
      </c>
      <c r="AO285" s="76" t="s">
        <v>6926</v>
      </c>
      <c r="AP285" s="83" t="str">
        <f>HYPERLINK("https://t.co/Gufmx08TQp")</f>
        <v>https://t.co/Gufmx08TQp</v>
      </c>
      <c r="AQ285" s="83" t="str">
        <f>HYPERLINK("https://www.instagram.com/clubedricos/")</f>
        <v>https://www.instagram.com/clubedricos/</v>
      </c>
      <c r="AR285" s="76" t="s">
        <v>7156</v>
      </c>
      <c r="AS285" s="76"/>
      <c r="AT285" s="76"/>
      <c r="AU285" s="76"/>
      <c r="AV285" s="76"/>
      <c r="AW285" s="83" t="str">
        <f>HYPERLINK("https://t.co/Gufmx08TQp")</f>
        <v>https://t.co/Gufmx08TQp</v>
      </c>
      <c r="AX285" s="76" t="b">
        <v>0</v>
      </c>
      <c r="AY285" s="76"/>
      <c r="AZ285" s="76"/>
      <c r="BA285" s="76" t="b">
        <v>0</v>
      </c>
      <c r="BB285" s="76" t="b">
        <v>0</v>
      </c>
      <c r="BC285" s="76" t="b">
        <v>1</v>
      </c>
      <c r="BD285" s="76" t="b">
        <v>0</v>
      </c>
      <c r="BE285" s="76" t="b">
        <v>1</v>
      </c>
      <c r="BF285" s="76" t="b">
        <v>0</v>
      </c>
      <c r="BG285" s="76" t="b">
        <v>0</v>
      </c>
      <c r="BH285" s="83" t="str">
        <f>HYPERLINK("https://pbs.twimg.com/profile_banners/1240364225358372865/1683910781")</f>
        <v>https://pbs.twimg.com/profile_banners/1240364225358372865/1683910781</v>
      </c>
      <c r="BI285" s="76"/>
      <c r="BJ285" s="76" t="s">
        <v>7245</v>
      </c>
      <c r="BK285" s="76" t="b">
        <v>0</v>
      </c>
      <c r="BL285" s="76"/>
      <c r="BM285" s="76" t="s">
        <v>66</v>
      </c>
      <c r="BN285" s="76" t="s">
        <v>7247</v>
      </c>
      <c r="BO285" s="83" t="str">
        <f>HYPERLINK("https://twitter.com/clubedericos")</f>
        <v>https://twitter.com/clubedericos</v>
      </c>
      <c r="BP285" s="2"/>
    </row>
    <row r="286" spans="1:68" x14ac:dyDescent="0.25">
      <c r="A286" s="62" t="s">
        <v>494</v>
      </c>
      <c r="B286" s="63"/>
      <c r="C286" s="63"/>
      <c r="D286" s="64"/>
      <c r="E286" s="66"/>
      <c r="F286" s="102" t="str">
        <f>HYPERLINK("https://pbs.twimg.com/profile_images/1620876828524089352/eUOKMokw_normal.jpg")</f>
        <v>https://pbs.twimg.com/profile_images/1620876828524089352/eUOKMokw_normal.jpg</v>
      </c>
      <c r="G286" s="63"/>
      <c r="H286" s="67"/>
      <c r="I286" s="68"/>
      <c r="J286" s="68"/>
      <c r="K286" s="67" t="s">
        <v>7530</v>
      </c>
      <c r="L286" s="71"/>
      <c r="M286" s="72"/>
      <c r="N286" s="72"/>
      <c r="O286" s="73"/>
      <c r="P286" s="74"/>
      <c r="Q286" s="74"/>
      <c r="R286" s="86"/>
      <c r="S286" s="86"/>
      <c r="T286" s="86"/>
      <c r="U286" s="86"/>
      <c r="V286" s="48"/>
      <c r="W286" s="48"/>
      <c r="X286" s="48"/>
      <c r="Y286" s="48"/>
      <c r="Z286" s="47"/>
      <c r="AA286" s="69">
        <v>286</v>
      </c>
      <c r="AB286" s="69"/>
      <c r="AC286" s="70"/>
      <c r="AD286" s="76" t="s">
        <v>6407</v>
      </c>
      <c r="AE286" s="81" t="s">
        <v>6051</v>
      </c>
      <c r="AF286" s="76">
        <v>19</v>
      </c>
      <c r="AG286" s="76">
        <v>193</v>
      </c>
      <c r="AH286" s="76">
        <v>119</v>
      </c>
      <c r="AI286" s="76">
        <v>2</v>
      </c>
      <c r="AJ286" s="76">
        <v>17</v>
      </c>
      <c r="AK286" s="76">
        <v>0</v>
      </c>
      <c r="AL286" s="76" t="b">
        <v>0</v>
      </c>
      <c r="AM286" s="78">
        <v>44958.83699074074</v>
      </c>
      <c r="AN286" s="76" t="s">
        <v>3752</v>
      </c>
      <c r="AO286" s="76" t="s">
        <v>6927</v>
      </c>
      <c r="AP286" s="76"/>
      <c r="AQ286" s="76"/>
      <c r="AR286" s="76"/>
      <c r="AS286" s="76"/>
      <c r="AT286" s="76"/>
      <c r="AU286" s="76"/>
      <c r="AV286" s="76">
        <v>1.6385424976923799E+18</v>
      </c>
      <c r="AW286" s="76"/>
      <c r="AX286" s="76" t="b">
        <v>0</v>
      </c>
      <c r="AY286" s="76"/>
      <c r="AZ286" s="76"/>
      <c r="BA286" s="76" t="b">
        <v>0</v>
      </c>
      <c r="BB286" s="76" t="b">
        <v>1</v>
      </c>
      <c r="BC286" s="76" t="b">
        <v>1</v>
      </c>
      <c r="BD286" s="76" t="b">
        <v>0</v>
      </c>
      <c r="BE286" s="76" t="b">
        <v>0</v>
      </c>
      <c r="BF286" s="76" t="b">
        <v>0</v>
      </c>
      <c r="BG286" s="76" t="b">
        <v>0</v>
      </c>
      <c r="BH286" s="83" t="str">
        <f>HYPERLINK("https://pbs.twimg.com/profile_banners/1620875889817882625/1679560107")</f>
        <v>https://pbs.twimg.com/profile_banners/1620875889817882625/1679560107</v>
      </c>
      <c r="BI286" s="76"/>
      <c r="BJ286" s="76" t="s">
        <v>7245</v>
      </c>
      <c r="BK286" s="76" t="b">
        <v>0</v>
      </c>
      <c r="BL286" s="76"/>
      <c r="BM286" s="76" t="s">
        <v>66</v>
      </c>
      <c r="BN286" s="76" t="s">
        <v>7247</v>
      </c>
      <c r="BO286" s="83" t="str">
        <f>HYPERLINK("https://twitter.com/grm88765974grm")</f>
        <v>https://twitter.com/grm88765974grm</v>
      </c>
      <c r="BP286" s="2"/>
    </row>
    <row r="287" spans="1:68" x14ac:dyDescent="0.25">
      <c r="A287" s="62" t="s">
        <v>495</v>
      </c>
      <c r="B287" s="63"/>
      <c r="C287" s="63"/>
      <c r="D287" s="64"/>
      <c r="E287" s="66"/>
      <c r="F287" s="102" t="str">
        <f>HYPERLINK("https://pbs.twimg.com/profile_images/1459903920629764100/DvRHKVUd_normal.jpg")</f>
        <v>https://pbs.twimg.com/profile_images/1459903920629764100/DvRHKVUd_normal.jpg</v>
      </c>
      <c r="G287" s="63"/>
      <c r="H287" s="67"/>
      <c r="I287" s="68"/>
      <c r="J287" s="68"/>
      <c r="K287" s="67" t="s">
        <v>7531</v>
      </c>
      <c r="L287" s="71"/>
      <c r="M287" s="72"/>
      <c r="N287" s="72"/>
      <c r="O287" s="73"/>
      <c r="P287" s="74"/>
      <c r="Q287" s="74"/>
      <c r="R287" s="86"/>
      <c r="S287" s="86"/>
      <c r="T287" s="86"/>
      <c r="U287" s="86"/>
      <c r="V287" s="48"/>
      <c r="W287" s="48"/>
      <c r="X287" s="48"/>
      <c r="Y287" s="48"/>
      <c r="Z287" s="47"/>
      <c r="AA287" s="69">
        <v>287</v>
      </c>
      <c r="AB287" s="69"/>
      <c r="AC287" s="70"/>
      <c r="AD287" s="76" t="s">
        <v>6408</v>
      </c>
      <c r="AE287" s="81" t="s">
        <v>6052</v>
      </c>
      <c r="AF287" s="76">
        <v>1</v>
      </c>
      <c r="AG287" s="76">
        <v>110</v>
      </c>
      <c r="AH287" s="76">
        <v>261</v>
      </c>
      <c r="AI287" s="76">
        <v>1</v>
      </c>
      <c r="AJ287" s="76">
        <v>138</v>
      </c>
      <c r="AK287" s="76">
        <v>24</v>
      </c>
      <c r="AL287" s="76" t="b">
        <v>0</v>
      </c>
      <c r="AM287" s="78">
        <v>44514.638194444444</v>
      </c>
      <c r="AN287" s="76"/>
      <c r="AO287" s="76" t="s">
        <v>6928</v>
      </c>
      <c r="AP287" s="83" t="str">
        <f>HYPERLINK("https://t.co/aET68PK2Kt")</f>
        <v>https://t.co/aET68PK2Kt</v>
      </c>
      <c r="AQ287" s="83" t="str">
        <f>HYPERLINK("https://bit.ly/brunnadigital")</f>
        <v>https://bit.ly/brunnadigital</v>
      </c>
      <c r="AR287" s="76" t="s">
        <v>7157</v>
      </c>
      <c r="AS287" s="76"/>
      <c r="AT287" s="76"/>
      <c r="AU287" s="76"/>
      <c r="AV287" s="76">
        <v>1.49040678448544E+18</v>
      </c>
      <c r="AW287" s="83" t="str">
        <f>HYPERLINK("https://t.co/aET68PK2Kt")</f>
        <v>https://t.co/aET68PK2Kt</v>
      </c>
      <c r="AX287" s="76" t="b">
        <v>0</v>
      </c>
      <c r="AY287" s="76"/>
      <c r="AZ287" s="76"/>
      <c r="BA287" s="76" t="b">
        <v>0</v>
      </c>
      <c r="BB287" s="76" t="b">
        <v>0</v>
      </c>
      <c r="BC287" s="76" t="b">
        <v>1</v>
      </c>
      <c r="BD287" s="76" t="b">
        <v>0</v>
      </c>
      <c r="BE287" s="76" t="b">
        <v>0</v>
      </c>
      <c r="BF287" s="76" t="b">
        <v>0</v>
      </c>
      <c r="BG287" s="76" t="b">
        <v>0</v>
      </c>
      <c r="BH287" s="76"/>
      <c r="BI287" s="76"/>
      <c r="BJ287" s="76" t="s">
        <v>7245</v>
      </c>
      <c r="BK287" s="76" t="b">
        <v>0</v>
      </c>
      <c r="BL287" s="76"/>
      <c r="BM287" s="76" t="s">
        <v>66</v>
      </c>
      <c r="BN287" s="76" t="s">
        <v>7247</v>
      </c>
      <c r="BO287" s="83" t="str">
        <f>HYPERLINK("https://twitter.com/suavidadigital")</f>
        <v>https://twitter.com/suavidadigital</v>
      </c>
      <c r="BP287" s="2"/>
    </row>
    <row r="288" spans="1:68" x14ac:dyDescent="0.25">
      <c r="A288" s="62" t="s">
        <v>496</v>
      </c>
      <c r="B288" s="63"/>
      <c r="C288" s="63"/>
      <c r="D288" s="64"/>
      <c r="E288" s="66"/>
      <c r="F288" s="102" t="str">
        <f>HYPERLINK("https://pbs.twimg.com/profile_images/1640351118462005248/Yv9if8Ga_normal.jpg")</f>
        <v>https://pbs.twimg.com/profile_images/1640351118462005248/Yv9if8Ga_normal.jpg</v>
      </c>
      <c r="G288" s="63"/>
      <c r="H288" s="67"/>
      <c r="I288" s="68"/>
      <c r="J288" s="68"/>
      <c r="K288" s="67" t="s">
        <v>7532</v>
      </c>
      <c r="L288" s="71"/>
      <c r="M288" s="72"/>
      <c r="N288" s="72"/>
      <c r="O288" s="73"/>
      <c r="P288" s="74"/>
      <c r="Q288" s="74"/>
      <c r="R288" s="86"/>
      <c r="S288" s="86"/>
      <c r="T288" s="86"/>
      <c r="U288" s="86"/>
      <c r="V288" s="48"/>
      <c r="W288" s="48"/>
      <c r="X288" s="48"/>
      <c r="Y288" s="48"/>
      <c r="Z288" s="47"/>
      <c r="AA288" s="69">
        <v>288</v>
      </c>
      <c r="AB288" s="69"/>
      <c r="AC288" s="70"/>
      <c r="AD288" s="76" t="s">
        <v>6409</v>
      </c>
      <c r="AE288" s="81" t="s">
        <v>6053</v>
      </c>
      <c r="AF288" s="76">
        <v>1</v>
      </c>
      <c r="AG288" s="76">
        <v>54</v>
      </c>
      <c r="AH288" s="76">
        <v>12</v>
      </c>
      <c r="AI288" s="76">
        <v>0</v>
      </c>
      <c r="AJ288" s="76">
        <v>117</v>
      </c>
      <c r="AK288" s="76">
        <v>2</v>
      </c>
      <c r="AL288" s="76" t="b">
        <v>0</v>
      </c>
      <c r="AM288" s="78">
        <v>44960.557638888888</v>
      </c>
      <c r="AN288" s="76" t="s">
        <v>3760</v>
      </c>
      <c r="AO288" s="76" t="s">
        <v>6929</v>
      </c>
      <c r="AP288" s="76"/>
      <c r="AQ288" s="76"/>
      <c r="AR288" s="76"/>
      <c r="AS288" s="76"/>
      <c r="AT288" s="76"/>
      <c r="AU288" s="76"/>
      <c r="AV288" s="76"/>
      <c r="AW288" s="76"/>
      <c r="AX288" s="76" t="b">
        <v>0</v>
      </c>
      <c r="AY288" s="76"/>
      <c r="AZ288" s="76"/>
      <c r="BA288" s="76" t="b">
        <v>0</v>
      </c>
      <c r="BB288" s="76" t="b">
        <v>1</v>
      </c>
      <c r="BC288" s="76" t="b">
        <v>1</v>
      </c>
      <c r="BD288" s="76" t="b">
        <v>0</v>
      </c>
      <c r="BE288" s="76" t="b">
        <v>1</v>
      </c>
      <c r="BF288" s="76" t="b">
        <v>0</v>
      </c>
      <c r="BG288" s="76" t="b">
        <v>0</v>
      </c>
      <c r="BH288" s="76"/>
      <c r="BI288" s="76"/>
      <c r="BJ288" s="76" t="s">
        <v>7245</v>
      </c>
      <c r="BK288" s="76" t="b">
        <v>0</v>
      </c>
      <c r="BL288" s="76"/>
      <c r="BM288" s="76" t="s">
        <v>66</v>
      </c>
      <c r="BN288" s="76" t="s">
        <v>7247</v>
      </c>
      <c r="BO288" s="83" t="str">
        <f>HYPERLINK("https://twitter.com/marceloadsva")</f>
        <v>https://twitter.com/marceloadsva</v>
      </c>
      <c r="BP288" s="2"/>
    </row>
    <row r="289" spans="1:68" x14ac:dyDescent="0.25">
      <c r="A289" s="62" t="s">
        <v>497</v>
      </c>
      <c r="B289" s="63"/>
      <c r="C289" s="63"/>
      <c r="D289" s="64"/>
      <c r="E289" s="66"/>
      <c r="F289" s="102" t="str">
        <f>HYPERLINK("https://pbs.twimg.com/profile_images/1698854829114691584/E-gHThCz_normal.jpg")</f>
        <v>https://pbs.twimg.com/profile_images/1698854829114691584/E-gHThCz_normal.jpg</v>
      </c>
      <c r="G289" s="63"/>
      <c r="H289" s="67"/>
      <c r="I289" s="68"/>
      <c r="J289" s="68"/>
      <c r="K289" s="67" t="s">
        <v>7533</v>
      </c>
      <c r="L289" s="71"/>
      <c r="M289" s="72"/>
      <c r="N289" s="72"/>
      <c r="O289" s="73"/>
      <c r="P289" s="74"/>
      <c r="Q289" s="74"/>
      <c r="R289" s="86"/>
      <c r="S289" s="86"/>
      <c r="T289" s="86"/>
      <c r="U289" s="86"/>
      <c r="V289" s="48"/>
      <c r="W289" s="48"/>
      <c r="X289" s="48"/>
      <c r="Y289" s="48"/>
      <c r="Z289" s="47"/>
      <c r="AA289" s="69">
        <v>289</v>
      </c>
      <c r="AB289" s="69"/>
      <c r="AC289" s="70"/>
      <c r="AD289" s="76" t="s">
        <v>6410</v>
      </c>
      <c r="AE289" s="81" t="s">
        <v>6533</v>
      </c>
      <c r="AF289" s="76">
        <v>606</v>
      </c>
      <c r="AG289" s="76">
        <v>563</v>
      </c>
      <c r="AH289" s="76">
        <v>2890</v>
      </c>
      <c r="AI289" s="76">
        <v>15</v>
      </c>
      <c r="AJ289" s="76">
        <v>71</v>
      </c>
      <c r="AK289" s="76">
        <v>1526</v>
      </c>
      <c r="AL289" s="76" t="b">
        <v>0</v>
      </c>
      <c r="AM289" s="78">
        <v>41608.752233796295</v>
      </c>
      <c r="AN289" s="76" t="s">
        <v>6651</v>
      </c>
      <c r="AO289" s="76" t="s">
        <v>6930</v>
      </c>
      <c r="AP289" s="76"/>
      <c r="AQ289" s="76"/>
      <c r="AR289" s="76"/>
      <c r="AS289" s="76"/>
      <c r="AT289" s="76"/>
      <c r="AU289" s="76"/>
      <c r="AV289" s="76">
        <v>1.69885755844477E+18</v>
      </c>
      <c r="AW289" s="76"/>
      <c r="AX289" s="76" t="b">
        <v>0</v>
      </c>
      <c r="AY289" s="76"/>
      <c r="AZ289" s="76"/>
      <c r="BA289" s="76" t="b">
        <v>1</v>
      </c>
      <c r="BB289" s="76" t="b">
        <v>1</v>
      </c>
      <c r="BC289" s="76" t="b">
        <v>1</v>
      </c>
      <c r="BD289" s="76" t="b">
        <v>0</v>
      </c>
      <c r="BE289" s="76" t="b">
        <v>0</v>
      </c>
      <c r="BF289" s="76" t="b">
        <v>0</v>
      </c>
      <c r="BG289" s="76" t="b">
        <v>0</v>
      </c>
      <c r="BH289" s="83" t="str">
        <f>HYPERLINK("https://pbs.twimg.com/profile_banners/2223505314/1693873739")</f>
        <v>https://pbs.twimg.com/profile_banners/2223505314/1693873739</v>
      </c>
      <c r="BI289" s="76"/>
      <c r="BJ289" s="76" t="s">
        <v>7245</v>
      </c>
      <c r="BK289" s="76" t="b">
        <v>0</v>
      </c>
      <c r="BL289" s="76"/>
      <c r="BM289" s="76" t="s">
        <v>66</v>
      </c>
      <c r="BN289" s="76" t="s">
        <v>7247</v>
      </c>
      <c r="BO289" s="83" t="str">
        <f>HYPERLINK("https://twitter.com/moneymentorx")</f>
        <v>https://twitter.com/moneymentorx</v>
      </c>
      <c r="BP289" s="2"/>
    </row>
    <row r="290" spans="1:68" x14ac:dyDescent="0.25">
      <c r="A290" s="62" t="s">
        <v>498</v>
      </c>
      <c r="B290" s="63"/>
      <c r="C290" s="63"/>
      <c r="D290" s="64"/>
      <c r="E290" s="66"/>
      <c r="F290" s="102" t="str">
        <f>HYPERLINK("https://pbs.twimg.com/profile_images/1688567689084620801/nG_RPmbt_normal.jpg")</f>
        <v>https://pbs.twimg.com/profile_images/1688567689084620801/nG_RPmbt_normal.jpg</v>
      </c>
      <c r="G290" s="63"/>
      <c r="H290" s="67"/>
      <c r="I290" s="68"/>
      <c r="J290" s="68"/>
      <c r="K290" s="67" t="s">
        <v>7534</v>
      </c>
      <c r="L290" s="71"/>
      <c r="M290" s="72"/>
      <c r="N290" s="72"/>
      <c r="O290" s="73"/>
      <c r="P290" s="74"/>
      <c r="Q290" s="74"/>
      <c r="R290" s="86"/>
      <c r="S290" s="86"/>
      <c r="T290" s="86"/>
      <c r="U290" s="86"/>
      <c r="V290" s="48"/>
      <c r="W290" s="48"/>
      <c r="X290" s="48"/>
      <c r="Y290" s="48"/>
      <c r="Z290" s="47"/>
      <c r="AA290" s="69">
        <v>290</v>
      </c>
      <c r="AB290" s="69"/>
      <c r="AC290" s="70"/>
      <c r="AD290" s="76" t="s">
        <v>6411</v>
      </c>
      <c r="AE290" s="81" t="s">
        <v>6054</v>
      </c>
      <c r="AF290" s="76">
        <v>29</v>
      </c>
      <c r="AG290" s="76">
        <v>205</v>
      </c>
      <c r="AH290" s="76">
        <v>89</v>
      </c>
      <c r="AI290" s="76">
        <v>0</v>
      </c>
      <c r="AJ290" s="76">
        <v>315</v>
      </c>
      <c r="AK290" s="76">
        <v>3</v>
      </c>
      <c r="AL290" s="76" t="b">
        <v>0</v>
      </c>
      <c r="AM290" s="78">
        <v>44846.700300925928</v>
      </c>
      <c r="AN290" s="76"/>
      <c r="AO290" s="76" t="s">
        <v>6931</v>
      </c>
      <c r="AP290" s="76"/>
      <c r="AQ290" s="76"/>
      <c r="AR290" s="76"/>
      <c r="AS290" s="76"/>
      <c r="AT290" s="76"/>
      <c r="AU290" s="76"/>
      <c r="AV290" s="76"/>
      <c r="AW290" s="76"/>
      <c r="AX290" s="76" t="b">
        <v>0</v>
      </c>
      <c r="AY290" s="76"/>
      <c r="AZ290" s="76"/>
      <c r="BA290" s="76" t="b">
        <v>0</v>
      </c>
      <c r="BB290" s="76" t="b">
        <v>1</v>
      </c>
      <c r="BC290" s="76" t="b">
        <v>1</v>
      </c>
      <c r="BD290" s="76" t="b">
        <v>0</v>
      </c>
      <c r="BE290" s="76" t="b">
        <v>0</v>
      </c>
      <c r="BF290" s="76" t="b">
        <v>0</v>
      </c>
      <c r="BG290" s="76" t="b">
        <v>0</v>
      </c>
      <c r="BH290" s="83" t="str">
        <f>HYPERLINK("https://pbs.twimg.com/profile_banners/1580238246923083778/1691421038")</f>
        <v>https://pbs.twimg.com/profile_banners/1580238246923083778/1691421038</v>
      </c>
      <c r="BI290" s="76"/>
      <c r="BJ290" s="76" t="s">
        <v>7245</v>
      </c>
      <c r="BK290" s="76" t="b">
        <v>0</v>
      </c>
      <c r="BL290" s="76"/>
      <c r="BM290" s="76" t="s">
        <v>66</v>
      </c>
      <c r="BN290" s="76" t="s">
        <v>7247</v>
      </c>
      <c r="BO290" s="83" t="str">
        <f>HYPERLINK("https://twitter.com/jhonys_eth")</f>
        <v>https://twitter.com/jhonys_eth</v>
      </c>
      <c r="BP290" s="2"/>
    </row>
    <row r="291" spans="1:68" x14ac:dyDescent="0.25">
      <c r="A291" s="62" t="s">
        <v>499</v>
      </c>
      <c r="B291" s="63"/>
      <c r="C291" s="63"/>
      <c r="D291" s="64"/>
      <c r="E291" s="66"/>
      <c r="F291" s="102" t="str">
        <f>HYPERLINK("https://pbs.twimg.com/profile_images/1334797638563225601/0ExLcSUT_normal.jpg")</f>
        <v>https://pbs.twimg.com/profile_images/1334797638563225601/0ExLcSUT_normal.jpg</v>
      </c>
      <c r="G291" s="63"/>
      <c r="H291" s="67"/>
      <c r="I291" s="68"/>
      <c r="J291" s="68"/>
      <c r="K291" s="67" t="s">
        <v>7535</v>
      </c>
      <c r="L291" s="71"/>
      <c r="M291" s="72"/>
      <c r="N291" s="72"/>
      <c r="O291" s="73"/>
      <c r="P291" s="74"/>
      <c r="Q291" s="74"/>
      <c r="R291" s="86"/>
      <c r="S291" s="86"/>
      <c r="T291" s="86"/>
      <c r="U291" s="86"/>
      <c r="V291" s="48"/>
      <c r="W291" s="48"/>
      <c r="X291" s="48"/>
      <c r="Y291" s="48"/>
      <c r="Z291" s="47"/>
      <c r="AA291" s="69">
        <v>291</v>
      </c>
      <c r="AB291" s="69"/>
      <c r="AC291" s="70"/>
      <c r="AD291" s="76" t="s">
        <v>6412</v>
      </c>
      <c r="AE291" s="81" t="s">
        <v>6055</v>
      </c>
      <c r="AF291" s="76">
        <v>324</v>
      </c>
      <c r="AG291" s="76">
        <v>821</v>
      </c>
      <c r="AH291" s="76">
        <v>367</v>
      </c>
      <c r="AI291" s="76">
        <v>2</v>
      </c>
      <c r="AJ291" s="76">
        <v>531</v>
      </c>
      <c r="AK291" s="76">
        <v>96</v>
      </c>
      <c r="AL291" s="76" t="b">
        <v>0</v>
      </c>
      <c r="AM291" s="78">
        <v>44169.410995370374</v>
      </c>
      <c r="AN291" s="76" t="s">
        <v>6579</v>
      </c>
      <c r="AO291" s="76" t="s">
        <v>6932</v>
      </c>
      <c r="AP291" s="83" t="str">
        <f>HYPERLINK("https://t.co/KB2XLEXp0X")</f>
        <v>https://t.co/KB2XLEXp0X</v>
      </c>
      <c r="AQ291" s="83" t="str">
        <f>HYPERLINK("https://trakto.link/Milionaria")</f>
        <v>https://trakto.link/Milionaria</v>
      </c>
      <c r="AR291" s="76" t="s">
        <v>7158</v>
      </c>
      <c r="AS291" s="76"/>
      <c r="AT291" s="76"/>
      <c r="AU291" s="76"/>
      <c r="AV291" s="76">
        <v>1.62882333628419E+18</v>
      </c>
      <c r="AW291" s="83" t="str">
        <f>HYPERLINK("https://t.co/KB2XLEXp0X")</f>
        <v>https://t.co/KB2XLEXp0X</v>
      </c>
      <c r="AX291" s="76" t="b">
        <v>0</v>
      </c>
      <c r="AY291" s="76"/>
      <c r="AZ291" s="76"/>
      <c r="BA291" s="76" t="b">
        <v>0</v>
      </c>
      <c r="BB291" s="76" t="b">
        <v>1</v>
      </c>
      <c r="BC291" s="76" t="b">
        <v>1</v>
      </c>
      <c r="BD291" s="76" t="b">
        <v>0</v>
      </c>
      <c r="BE291" s="76" t="b">
        <v>0</v>
      </c>
      <c r="BF291" s="76" t="b">
        <v>0</v>
      </c>
      <c r="BG291" s="76" t="b">
        <v>0</v>
      </c>
      <c r="BH291" s="76"/>
      <c r="BI291" s="76"/>
      <c r="BJ291" s="76" t="s">
        <v>7245</v>
      </c>
      <c r="BK291" s="76" t="b">
        <v>0</v>
      </c>
      <c r="BL291" s="76"/>
      <c r="BM291" s="76" t="s">
        <v>66</v>
      </c>
      <c r="BN291" s="76" t="s">
        <v>7247</v>
      </c>
      <c r="BO291" s="83" t="str">
        <f>HYPERLINK("https://twitter.com/10milionaria")</f>
        <v>https://twitter.com/10milionaria</v>
      </c>
      <c r="BP291" s="2"/>
    </row>
    <row r="292" spans="1:68" x14ac:dyDescent="0.25">
      <c r="A292" s="62" t="s">
        <v>500</v>
      </c>
      <c r="B292" s="63"/>
      <c r="C292" s="63"/>
      <c r="D292" s="64"/>
      <c r="E292" s="66"/>
      <c r="F292" s="102" t="str">
        <f>HYPERLINK("https://pbs.twimg.com/profile_images/1619306326881968133/YnQqqTlO_normal.jpg")</f>
        <v>https://pbs.twimg.com/profile_images/1619306326881968133/YnQqqTlO_normal.jpg</v>
      </c>
      <c r="G292" s="63"/>
      <c r="H292" s="67"/>
      <c r="I292" s="68"/>
      <c r="J292" s="68"/>
      <c r="K292" s="67" t="s">
        <v>7536</v>
      </c>
      <c r="L292" s="71"/>
      <c r="M292" s="72"/>
      <c r="N292" s="72"/>
      <c r="O292" s="73"/>
      <c r="P292" s="74"/>
      <c r="Q292" s="74"/>
      <c r="R292" s="86"/>
      <c r="S292" s="86"/>
      <c r="T292" s="86"/>
      <c r="U292" s="86"/>
      <c r="V292" s="48"/>
      <c r="W292" s="48"/>
      <c r="X292" s="48"/>
      <c r="Y292" s="48"/>
      <c r="Z292" s="47"/>
      <c r="AA292" s="69">
        <v>292</v>
      </c>
      <c r="AB292" s="69"/>
      <c r="AC292" s="70"/>
      <c r="AD292" s="76" t="s">
        <v>6413</v>
      </c>
      <c r="AE292" s="81" t="s">
        <v>6534</v>
      </c>
      <c r="AF292" s="76">
        <v>170</v>
      </c>
      <c r="AG292" s="76">
        <v>104</v>
      </c>
      <c r="AH292" s="76">
        <v>279</v>
      </c>
      <c r="AI292" s="76">
        <v>9</v>
      </c>
      <c r="AJ292" s="76">
        <v>1051</v>
      </c>
      <c r="AK292" s="76">
        <v>20</v>
      </c>
      <c r="AL292" s="76" t="b">
        <v>0</v>
      </c>
      <c r="AM292" s="78">
        <v>40420.493217592593</v>
      </c>
      <c r="AN292" s="76" t="s">
        <v>3752</v>
      </c>
      <c r="AO292" s="76" t="s">
        <v>6933</v>
      </c>
      <c r="AP292" s="76"/>
      <c r="AQ292" s="76"/>
      <c r="AR292" s="76"/>
      <c r="AS292" s="76"/>
      <c r="AT292" s="76"/>
      <c r="AU292" s="76"/>
      <c r="AV292" s="76">
        <v>1.6823512121701901E+18</v>
      </c>
      <c r="AW292" s="76"/>
      <c r="AX292" s="76" t="b">
        <v>0</v>
      </c>
      <c r="AY292" s="76"/>
      <c r="AZ292" s="76"/>
      <c r="BA292" s="76" t="b">
        <v>1</v>
      </c>
      <c r="BB292" s="76" t="b">
        <v>1</v>
      </c>
      <c r="BC292" s="76" t="b">
        <v>1</v>
      </c>
      <c r="BD292" s="76" t="b">
        <v>0</v>
      </c>
      <c r="BE292" s="76" t="b">
        <v>1</v>
      </c>
      <c r="BF292" s="76" t="b">
        <v>0</v>
      </c>
      <c r="BG292" s="76" t="b">
        <v>0</v>
      </c>
      <c r="BH292" s="83" t="str">
        <f>HYPERLINK("https://pbs.twimg.com/profile_banners/184751660/1689861686")</f>
        <v>https://pbs.twimg.com/profile_banners/184751660/1689861686</v>
      </c>
      <c r="BI292" s="76"/>
      <c r="BJ292" s="76" t="s">
        <v>7245</v>
      </c>
      <c r="BK292" s="76" t="b">
        <v>0</v>
      </c>
      <c r="BL292" s="76"/>
      <c r="BM292" s="76" t="s">
        <v>66</v>
      </c>
      <c r="BN292" s="76" t="s">
        <v>7247</v>
      </c>
      <c r="BO292" s="83" t="str">
        <f>HYPERLINK("https://twitter.com/marcoskcond")</f>
        <v>https://twitter.com/marcoskcond</v>
      </c>
      <c r="BP292" s="2"/>
    </row>
    <row r="293" spans="1:68" x14ac:dyDescent="0.25">
      <c r="A293" s="62" t="s">
        <v>576</v>
      </c>
      <c r="B293" s="63"/>
      <c r="C293" s="63"/>
      <c r="D293" s="64"/>
      <c r="E293" s="66"/>
      <c r="F293" s="102" t="str">
        <f>HYPERLINK("https://pbs.twimg.com/profile_images/1375181208531914765/aMIkbfuh_normal.jpg")</f>
        <v>https://pbs.twimg.com/profile_images/1375181208531914765/aMIkbfuh_normal.jpg</v>
      </c>
      <c r="G293" s="63"/>
      <c r="H293" s="67"/>
      <c r="I293" s="68"/>
      <c r="J293" s="68"/>
      <c r="K293" s="67" t="s">
        <v>7537</v>
      </c>
      <c r="L293" s="71"/>
      <c r="M293" s="72"/>
      <c r="N293" s="72"/>
      <c r="O293" s="73"/>
      <c r="P293" s="74"/>
      <c r="Q293" s="74"/>
      <c r="R293" s="86"/>
      <c r="S293" s="86"/>
      <c r="T293" s="86"/>
      <c r="U293" s="86"/>
      <c r="V293" s="48"/>
      <c r="W293" s="48"/>
      <c r="X293" s="48"/>
      <c r="Y293" s="48"/>
      <c r="Z293" s="47"/>
      <c r="AA293" s="69">
        <v>293</v>
      </c>
      <c r="AB293" s="69"/>
      <c r="AC293" s="70"/>
      <c r="AD293" s="76" t="s">
        <v>6414</v>
      </c>
      <c r="AE293" s="81" t="s">
        <v>6535</v>
      </c>
      <c r="AF293" s="76">
        <v>77457</v>
      </c>
      <c r="AG293" s="76">
        <v>385</v>
      </c>
      <c r="AH293" s="76">
        <v>3518</v>
      </c>
      <c r="AI293" s="76">
        <v>393</v>
      </c>
      <c r="AJ293" s="76">
        <v>8028</v>
      </c>
      <c r="AK293" s="76">
        <v>854</v>
      </c>
      <c r="AL293" s="76" t="b">
        <v>0</v>
      </c>
      <c r="AM293" s="78">
        <v>44271.312164351853</v>
      </c>
      <c r="AN293" s="76" t="s">
        <v>6652</v>
      </c>
      <c r="AO293" s="76" t="s">
        <v>6934</v>
      </c>
      <c r="AP293" s="83" t="str">
        <f>HYPERLINK("https://t.co/cjBV4n4qjl")</f>
        <v>https://t.co/cjBV4n4qjl</v>
      </c>
      <c r="AQ293" s="83" t="str">
        <f>HYPERLINK("https://linktr.ee/meld_defi")</f>
        <v>https://linktr.ee/meld_defi</v>
      </c>
      <c r="AR293" s="76" t="s">
        <v>7159</v>
      </c>
      <c r="AS293" s="83" t="str">
        <f>HYPERLINK("https://t.co/TAMIlgLiCT")</f>
        <v>https://t.co/TAMIlgLiCT</v>
      </c>
      <c r="AT293" s="83" t="str">
        <f>HYPERLINK("http://MELD.Fi")</f>
        <v>http://MELD.Fi</v>
      </c>
      <c r="AU293" s="76" t="s">
        <v>7241</v>
      </c>
      <c r="AV293" s="76">
        <v>1.6759488789929001E+18</v>
      </c>
      <c r="AW293" s="83" t="str">
        <f>HYPERLINK("https://t.co/cjBV4n4qjl")</f>
        <v>https://t.co/cjBV4n4qjl</v>
      </c>
      <c r="AX293" s="76" t="b">
        <v>1</v>
      </c>
      <c r="AY293" s="76"/>
      <c r="AZ293" s="76"/>
      <c r="BA293" s="76" t="b">
        <v>1</v>
      </c>
      <c r="BB293" s="76" t="b">
        <v>1</v>
      </c>
      <c r="BC293" s="76" t="b">
        <v>1</v>
      </c>
      <c r="BD293" s="76" t="b">
        <v>0</v>
      </c>
      <c r="BE293" s="76" t="b">
        <v>1</v>
      </c>
      <c r="BF293" s="76" t="b">
        <v>0</v>
      </c>
      <c r="BG293" s="76" t="b">
        <v>0</v>
      </c>
      <c r="BH293" s="83" t="str">
        <f>HYPERLINK("https://pbs.twimg.com/profile_banners/1371725080275906565/1644512454")</f>
        <v>https://pbs.twimg.com/profile_banners/1371725080275906565/1644512454</v>
      </c>
      <c r="BI293" s="76"/>
      <c r="BJ293" s="76" t="s">
        <v>7245</v>
      </c>
      <c r="BK293" s="76" t="b">
        <v>0</v>
      </c>
      <c r="BL293" s="76"/>
      <c r="BM293" s="76" t="s">
        <v>65</v>
      </c>
      <c r="BN293" s="76" t="s">
        <v>7247</v>
      </c>
      <c r="BO293" s="83" t="str">
        <f>HYPERLINK("https://twitter.com/meld_defi")</f>
        <v>https://twitter.com/meld_defi</v>
      </c>
      <c r="BP293" s="2"/>
    </row>
    <row r="294" spans="1:68" x14ac:dyDescent="0.25">
      <c r="A294" s="62" t="s">
        <v>501</v>
      </c>
      <c r="B294" s="63"/>
      <c r="C294" s="63"/>
      <c r="D294" s="64"/>
      <c r="E294" s="66"/>
      <c r="F294" s="102" t="str">
        <f>HYPERLINK("https://pbs.twimg.com/profile_images/1694718903359090688/9lPJBK8u_normal.jpg")</f>
        <v>https://pbs.twimg.com/profile_images/1694718903359090688/9lPJBK8u_normal.jpg</v>
      </c>
      <c r="G294" s="63"/>
      <c r="H294" s="67"/>
      <c r="I294" s="68"/>
      <c r="J294" s="68"/>
      <c r="K294" s="67" t="s">
        <v>7538</v>
      </c>
      <c r="L294" s="71"/>
      <c r="M294" s="72"/>
      <c r="N294" s="72"/>
      <c r="O294" s="73"/>
      <c r="P294" s="74"/>
      <c r="Q294" s="74"/>
      <c r="R294" s="86"/>
      <c r="S294" s="86"/>
      <c r="T294" s="86"/>
      <c r="U294" s="86"/>
      <c r="V294" s="48"/>
      <c r="W294" s="48"/>
      <c r="X294" s="48"/>
      <c r="Y294" s="48"/>
      <c r="Z294" s="47"/>
      <c r="AA294" s="69">
        <v>294</v>
      </c>
      <c r="AB294" s="69"/>
      <c r="AC294" s="70"/>
      <c r="AD294" s="76" t="s">
        <v>6415</v>
      </c>
      <c r="AE294" s="81" t="s">
        <v>5607</v>
      </c>
      <c r="AF294" s="76">
        <v>141</v>
      </c>
      <c r="AG294" s="76">
        <v>1204</v>
      </c>
      <c r="AH294" s="76">
        <v>439</v>
      </c>
      <c r="AI294" s="76">
        <v>0</v>
      </c>
      <c r="AJ294" s="76">
        <v>32</v>
      </c>
      <c r="AK294" s="76">
        <v>0</v>
      </c>
      <c r="AL294" s="76" t="b">
        <v>0</v>
      </c>
      <c r="AM294" s="78">
        <v>40198.596817129626</v>
      </c>
      <c r="AN294" s="76"/>
      <c r="AO294" s="76" t="s">
        <v>6935</v>
      </c>
      <c r="AP294" s="76"/>
      <c r="AQ294" s="76"/>
      <c r="AR294" s="76"/>
      <c r="AS294" s="76"/>
      <c r="AT294" s="76"/>
      <c r="AU294" s="76"/>
      <c r="AV294" s="76"/>
      <c r="AW294" s="76"/>
      <c r="AX294" s="76" t="b">
        <v>0</v>
      </c>
      <c r="AY294" s="76"/>
      <c r="AZ294" s="76"/>
      <c r="BA294" s="76" t="b">
        <v>1</v>
      </c>
      <c r="BB294" s="76" t="b">
        <v>0</v>
      </c>
      <c r="BC294" s="76" t="b">
        <v>0</v>
      </c>
      <c r="BD294" s="76" t="b">
        <v>0</v>
      </c>
      <c r="BE294" s="76" t="b">
        <v>0</v>
      </c>
      <c r="BF294" s="76" t="b">
        <v>0</v>
      </c>
      <c r="BG294" s="76" t="b">
        <v>0</v>
      </c>
      <c r="BH294" s="83" t="str">
        <f>HYPERLINK("https://pbs.twimg.com/profile_banners/106727036/1671641986")</f>
        <v>https://pbs.twimg.com/profile_banners/106727036/1671641986</v>
      </c>
      <c r="BI294" s="76"/>
      <c r="BJ294" s="76" t="s">
        <v>7245</v>
      </c>
      <c r="BK294" s="76" t="b">
        <v>0</v>
      </c>
      <c r="BL294" s="76"/>
      <c r="BM294" s="76" t="s">
        <v>66</v>
      </c>
      <c r="BN294" s="76" t="s">
        <v>7247</v>
      </c>
      <c r="BO294" s="83" t="str">
        <f>HYPERLINK("https://twitter.com/francamarcos7")</f>
        <v>https://twitter.com/francamarcos7</v>
      </c>
      <c r="BP294" s="2"/>
    </row>
    <row r="295" spans="1:68" x14ac:dyDescent="0.25">
      <c r="A295" s="62" t="s">
        <v>502</v>
      </c>
      <c r="B295" s="63"/>
      <c r="C295" s="63"/>
      <c r="D295" s="64"/>
      <c r="E295" s="66"/>
      <c r="F295" s="102" t="str">
        <f>HYPERLINK("https://pbs.twimg.com/profile_images/1642523994317373442/nvqycXA5_normal.jpg")</f>
        <v>https://pbs.twimg.com/profile_images/1642523994317373442/nvqycXA5_normal.jpg</v>
      </c>
      <c r="G295" s="63"/>
      <c r="H295" s="67"/>
      <c r="I295" s="68"/>
      <c r="J295" s="68"/>
      <c r="K295" s="67" t="s">
        <v>7539</v>
      </c>
      <c r="L295" s="71"/>
      <c r="M295" s="72"/>
      <c r="N295" s="72"/>
      <c r="O295" s="73"/>
      <c r="P295" s="74"/>
      <c r="Q295" s="74"/>
      <c r="R295" s="86"/>
      <c r="S295" s="86"/>
      <c r="T295" s="86"/>
      <c r="U295" s="86"/>
      <c r="V295" s="48"/>
      <c r="W295" s="48"/>
      <c r="X295" s="48"/>
      <c r="Y295" s="48"/>
      <c r="Z295" s="47"/>
      <c r="AA295" s="69">
        <v>295</v>
      </c>
      <c r="AB295" s="69"/>
      <c r="AC295" s="70"/>
      <c r="AD295" s="76" t="s">
        <v>6416</v>
      </c>
      <c r="AE295" s="81" t="s">
        <v>6536</v>
      </c>
      <c r="AF295" s="76">
        <v>111</v>
      </c>
      <c r="AG295" s="76">
        <v>16</v>
      </c>
      <c r="AH295" s="76">
        <v>3799</v>
      </c>
      <c r="AI295" s="76">
        <v>0</v>
      </c>
      <c r="AJ295" s="76">
        <v>71</v>
      </c>
      <c r="AK295" s="76">
        <v>75</v>
      </c>
      <c r="AL295" s="76" t="b">
        <v>0</v>
      </c>
      <c r="AM295" s="78">
        <v>40743.106863425928</v>
      </c>
      <c r="AN295" s="76" t="s">
        <v>6653</v>
      </c>
      <c r="AO295" s="76" t="s">
        <v>6936</v>
      </c>
      <c r="AP295" s="83" t="str">
        <f>HYPERLINK("https://t.co/UZfvUVednQ")</f>
        <v>https://t.co/UZfvUVednQ</v>
      </c>
      <c r="AQ295" s="83" t="str">
        <f>HYPERLINK("https://www.instagram.com/dawisonbarbosa/")</f>
        <v>https://www.instagram.com/dawisonbarbosa/</v>
      </c>
      <c r="AR295" s="76" t="s">
        <v>7160</v>
      </c>
      <c r="AS295" s="76"/>
      <c r="AT295" s="76"/>
      <c r="AU295" s="76"/>
      <c r="AV295" s="76">
        <v>1.5337615492606799E+18</v>
      </c>
      <c r="AW295" s="83" t="str">
        <f>HYPERLINK("https://t.co/UZfvUVednQ")</f>
        <v>https://t.co/UZfvUVednQ</v>
      </c>
      <c r="AX295" s="76" t="b">
        <v>0</v>
      </c>
      <c r="AY295" s="76"/>
      <c r="AZ295" s="76"/>
      <c r="BA295" s="76" t="b">
        <v>0</v>
      </c>
      <c r="BB295" s="76" t="b">
        <v>1</v>
      </c>
      <c r="BC295" s="76" t="b">
        <v>0</v>
      </c>
      <c r="BD295" s="76" t="b">
        <v>0</v>
      </c>
      <c r="BE295" s="76" t="b">
        <v>0</v>
      </c>
      <c r="BF295" s="76" t="b">
        <v>0</v>
      </c>
      <c r="BG295" s="76" t="b">
        <v>0</v>
      </c>
      <c r="BH295" s="83" t="str">
        <f>HYPERLINK("https://pbs.twimg.com/profile_banners/338097482/1689709711")</f>
        <v>https://pbs.twimg.com/profile_banners/338097482/1689709711</v>
      </c>
      <c r="BI295" s="76"/>
      <c r="BJ295" s="76" t="s">
        <v>7245</v>
      </c>
      <c r="BK295" s="76" t="b">
        <v>0</v>
      </c>
      <c r="BL295" s="76"/>
      <c r="BM295" s="76" t="s">
        <v>66</v>
      </c>
      <c r="BN295" s="76" t="s">
        <v>7247</v>
      </c>
      <c r="BO295" s="83" t="str">
        <f>HYPERLINK("https://twitter.com/dawisonbarbosa")</f>
        <v>https://twitter.com/dawisonbarbosa</v>
      </c>
      <c r="BP295" s="2"/>
    </row>
    <row r="296" spans="1:68" x14ac:dyDescent="0.25">
      <c r="A296" s="62" t="s">
        <v>503</v>
      </c>
      <c r="B296" s="63"/>
      <c r="C296" s="63"/>
      <c r="D296" s="64"/>
      <c r="E296" s="66"/>
      <c r="F296" s="102" t="str">
        <f>HYPERLINK("https://pbs.twimg.com/profile_images/1598823224434884615/lhIKa3T__normal.jpg")</f>
        <v>https://pbs.twimg.com/profile_images/1598823224434884615/lhIKa3T__normal.jpg</v>
      </c>
      <c r="G296" s="63"/>
      <c r="H296" s="67"/>
      <c r="I296" s="68"/>
      <c r="J296" s="68"/>
      <c r="K296" s="67" t="s">
        <v>7540</v>
      </c>
      <c r="L296" s="71"/>
      <c r="M296" s="72"/>
      <c r="N296" s="72"/>
      <c r="O296" s="73"/>
      <c r="P296" s="74"/>
      <c r="Q296" s="74"/>
      <c r="R296" s="86"/>
      <c r="S296" s="86"/>
      <c r="T296" s="86"/>
      <c r="U296" s="86"/>
      <c r="V296" s="48"/>
      <c r="W296" s="48"/>
      <c r="X296" s="48"/>
      <c r="Y296" s="48"/>
      <c r="Z296" s="47"/>
      <c r="AA296" s="69">
        <v>296</v>
      </c>
      <c r="AB296" s="69"/>
      <c r="AC296" s="70"/>
      <c r="AD296" s="76" t="s">
        <v>6417</v>
      </c>
      <c r="AE296" s="81" t="s">
        <v>6056</v>
      </c>
      <c r="AF296" s="76">
        <v>3</v>
      </c>
      <c r="AG296" s="76">
        <v>24</v>
      </c>
      <c r="AH296" s="76">
        <v>37</v>
      </c>
      <c r="AI296" s="76">
        <v>0</v>
      </c>
      <c r="AJ296" s="76">
        <v>278</v>
      </c>
      <c r="AK296" s="76">
        <v>7</v>
      </c>
      <c r="AL296" s="76" t="b">
        <v>0</v>
      </c>
      <c r="AM296" s="78">
        <v>44704.687569444446</v>
      </c>
      <c r="AN296" s="76" t="s">
        <v>6654</v>
      </c>
      <c r="AO296" s="76" t="s">
        <v>6937</v>
      </c>
      <c r="AP296" s="83" t="str">
        <f>HYPERLINK("https://t.co/i0gPertkGU")</f>
        <v>https://t.co/i0gPertkGU</v>
      </c>
      <c r="AQ296" s="83" t="str">
        <f>HYPERLINK("http://www.instagram.com/en_dinheirando")</f>
        <v>http://www.instagram.com/en_dinheirando</v>
      </c>
      <c r="AR296" s="76" t="s">
        <v>7161</v>
      </c>
      <c r="AS296" s="76"/>
      <c r="AT296" s="76"/>
      <c r="AU296" s="76"/>
      <c r="AV296" s="76"/>
      <c r="AW296" s="83" t="str">
        <f>HYPERLINK("https://t.co/i0gPertkGU")</f>
        <v>https://t.co/i0gPertkGU</v>
      </c>
      <c r="AX296" s="76" t="b">
        <v>0</v>
      </c>
      <c r="AY296" s="76"/>
      <c r="AZ296" s="76"/>
      <c r="BA296" s="76" t="b">
        <v>0</v>
      </c>
      <c r="BB296" s="76" t="b">
        <v>1</v>
      </c>
      <c r="BC296" s="76" t="b">
        <v>1</v>
      </c>
      <c r="BD296" s="76" t="b">
        <v>0</v>
      </c>
      <c r="BE296" s="76" t="b">
        <v>0</v>
      </c>
      <c r="BF296" s="76" t="b">
        <v>0</v>
      </c>
      <c r="BG296" s="76" t="b">
        <v>0</v>
      </c>
      <c r="BH296" s="76"/>
      <c r="BI296" s="76"/>
      <c r="BJ296" s="76" t="s">
        <v>7245</v>
      </c>
      <c r="BK296" s="76" t="b">
        <v>0</v>
      </c>
      <c r="BL296" s="76"/>
      <c r="BM296" s="76" t="s">
        <v>66</v>
      </c>
      <c r="BN296" s="76" t="s">
        <v>7247</v>
      </c>
      <c r="BO296" s="83" t="str">
        <f>HYPERLINK("https://twitter.com/beltrameotavio")</f>
        <v>https://twitter.com/beltrameotavio</v>
      </c>
      <c r="BP296" s="2"/>
    </row>
    <row r="297" spans="1:68" x14ac:dyDescent="0.25">
      <c r="A297" s="62" t="s">
        <v>504</v>
      </c>
      <c r="B297" s="63"/>
      <c r="C297" s="63"/>
      <c r="D297" s="64"/>
      <c r="E297" s="66"/>
      <c r="F297" s="102" t="str">
        <f>HYPERLINK("https://pbs.twimg.com/profile_images/1687867116731379712/651PZct__normal.jpg")</f>
        <v>https://pbs.twimg.com/profile_images/1687867116731379712/651PZct__normal.jpg</v>
      </c>
      <c r="G297" s="63"/>
      <c r="H297" s="67"/>
      <c r="I297" s="68"/>
      <c r="J297" s="68"/>
      <c r="K297" s="67" t="s">
        <v>7541</v>
      </c>
      <c r="L297" s="71"/>
      <c r="M297" s="72"/>
      <c r="N297" s="72"/>
      <c r="O297" s="73"/>
      <c r="P297" s="74"/>
      <c r="Q297" s="74"/>
      <c r="R297" s="86"/>
      <c r="S297" s="86"/>
      <c r="T297" s="86"/>
      <c r="U297" s="86"/>
      <c r="V297" s="48"/>
      <c r="W297" s="48"/>
      <c r="X297" s="48"/>
      <c r="Y297" s="48"/>
      <c r="Z297" s="47"/>
      <c r="AA297" s="69">
        <v>297</v>
      </c>
      <c r="AB297" s="69"/>
      <c r="AC297" s="70"/>
      <c r="AD297" s="76" t="s">
        <v>6418</v>
      </c>
      <c r="AE297" s="81" t="s">
        <v>6057</v>
      </c>
      <c r="AF297" s="76">
        <v>2</v>
      </c>
      <c r="AG297" s="76">
        <v>9</v>
      </c>
      <c r="AH297" s="76">
        <v>12</v>
      </c>
      <c r="AI297" s="76">
        <v>0</v>
      </c>
      <c r="AJ297" s="76">
        <v>0</v>
      </c>
      <c r="AK297" s="76">
        <v>12</v>
      </c>
      <c r="AL297" s="76" t="b">
        <v>0</v>
      </c>
      <c r="AM297" s="78">
        <v>45143.69667824074</v>
      </c>
      <c r="AN297" s="76" t="s">
        <v>6655</v>
      </c>
      <c r="AO297" s="76" t="s">
        <v>6938</v>
      </c>
      <c r="AP297" s="83" t="str">
        <f>HYPERLINK("https://t.co/P8QqmzM3or")</f>
        <v>https://t.co/P8QqmzM3or</v>
      </c>
      <c r="AQ297" s="83" t="str">
        <f>HYPERLINK("https://glaubervicentina10.wixsite.com/dracmatoken")</f>
        <v>https://glaubervicentina10.wixsite.com/dracmatoken</v>
      </c>
      <c r="AR297" s="76" t="s">
        <v>7031</v>
      </c>
      <c r="AS297" s="76"/>
      <c r="AT297" s="76"/>
      <c r="AU297" s="76"/>
      <c r="AV297" s="76"/>
      <c r="AW297" s="83" t="str">
        <f>HYPERLINK("https://t.co/P8QqmzM3or")</f>
        <v>https://t.co/P8QqmzM3or</v>
      </c>
      <c r="AX297" s="76" t="b">
        <v>0</v>
      </c>
      <c r="AY297" s="76"/>
      <c r="AZ297" s="76"/>
      <c r="BA297" s="76" t="b">
        <v>0</v>
      </c>
      <c r="BB297" s="76" t="b">
        <v>1</v>
      </c>
      <c r="BC297" s="76" t="b">
        <v>1</v>
      </c>
      <c r="BD297" s="76" t="b">
        <v>0</v>
      </c>
      <c r="BE297" s="76" t="b">
        <v>0</v>
      </c>
      <c r="BF297" s="76" t="b">
        <v>0</v>
      </c>
      <c r="BG297" s="76" t="b">
        <v>0</v>
      </c>
      <c r="BH297" s="83" t="str">
        <f>HYPERLINK("https://pbs.twimg.com/profile_banners/1687866596222492672/1691255130")</f>
        <v>https://pbs.twimg.com/profile_banners/1687866596222492672/1691255130</v>
      </c>
      <c r="BI297" s="76"/>
      <c r="BJ297" s="76" t="s">
        <v>7245</v>
      </c>
      <c r="BK297" s="76" t="b">
        <v>0</v>
      </c>
      <c r="BL297" s="76"/>
      <c r="BM297" s="76" t="s">
        <v>66</v>
      </c>
      <c r="BN297" s="76" t="s">
        <v>7247</v>
      </c>
      <c r="BO297" s="83" t="str">
        <f>HYPERLINK("https://twitter.com/dracmatoke18647")</f>
        <v>https://twitter.com/dracmatoke18647</v>
      </c>
      <c r="BP297" s="2"/>
    </row>
    <row r="298" spans="1:68" x14ac:dyDescent="0.25">
      <c r="A298" s="62" t="s">
        <v>505</v>
      </c>
      <c r="B298" s="63"/>
      <c r="C298" s="63"/>
      <c r="D298" s="64"/>
      <c r="E298" s="66"/>
      <c r="F298" s="102" t="str">
        <f>HYPERLINK("https://pbs.twimg.com/profile_images/1634520187251589121/w8KZ2YMB_normal.jpg")</f>
        <v>https://pbs.twimg.com/profile_images/1634520187251589121/w8KZ2YMB_normal.jpg</v>
      </c>
      <c r="G298" s="63"/>
      <c r="H298" s="67"/>
      <c r="I298" s="68"/>
      <c r="J298" s="68"/>
      <c r="K298" s="67" t="s">
        <v>7542</v>
      </c>
      <c r="L298" s="71"/>
      <c r="M298" s="72"/>
      <c r="N298" s="72"/>
      <c r="O298" s="73"/>
      <c r="P298" s="74"/>
      <c r="Q298" s="74"/>
      <c r="R298" s="86"/>
      <c r="S298" s="86"/>
      <c r="T298" s="86"/>
      <c r="U298" s="86"/>
      <c r="V298" s="48"/>
      <c r="W298" s="48"/>
      <c r="X298" s="48"/>
      <c r="Y298" s="48"/>
      <c r="Z298" s="47"/>
      <c r="AA298" s="69">
        <v>298</v>
      </c>
      <c r="AB298" s="69"/>
      <c r="AC298" s="70"/>
      <c r="AD298" s="76" t="s">
        <v>6419</v>
      </c>
      <c r="AE298" s="81" t="s">
        <v>6058</v>
      </c>
      <c r="AF298" s="76">
        <v>32</v>
      </c>
      <c r="AG298" s="76">
        <v>199</v>
      </c>
      <c r="AH298" s="76">
        <v>1022</v>
      </c>
      <c r="AI298" s="76">
        <v>4</v>
      </c>
      <c r="AJ298" s="76">
        <v>43</v>
      </c>
      <c r="AK298" s="76">
        <v>182</v>
      </c>
      <c r="AL298" s="76" t="b">
        <v>0</v>
      </c>
      <c r="AM298" s="78">
        <v>44996.487905092596</v>
      </c>
      <c r="AN298" s="76"/>
      <c r="AO298" s="76" t="s">
        <v>6939</v>
      </c>
      <c r="AP298" s="83" t="str">
        <f>HYPERLINK("https://t.co/gyj3uRIxEB")</f>
        <v>https://t.co/gyj3uRIxEB</v>
      </c>
      <c r="AQ298" s="83" t="str">
        <f>HYPERLINK("https://www.youtube.com/channel/UCoBLj3VRW2-Gh5uAAbTwxHg")</f>
        <v>https://www.youtube.com/channel/UCoBLj3VRW2-Gh5uAAbTwxHg</v>
      </c>
      <c r="AR298" s="76" t="s">
        <v>7162</v>
      </c>
      <c r="AS298" s="76"/>
      <c r="AT298" s="76"/>
      <c r="AU298" s="76"/>
      <c r="AV298" s="76">
        <v>1.6405208003431301E+18</v>
      </c>
      <c r="AW298" s="83" t="str">
        <f>HYPERLINK("https://t.co/gyj3uRIxEB")</f>
        <v>https://t.co/gyj3uRIxEB</v>
      </c>
      <c r="AX298" s="76" t="b">
        <v>0</v>
      </c>
      <c r="AY298" s="76"/>
      <c r="AZ298" s="76"/>
      <c r="BA298" s="76" t="b">
        <v>0</v>
      </c>
      <c r="BB298" s="76" t="b">
        <v>1</v>
      </c>
      <c r="BC298" s="76" t="b">
        <v>1</v>
      </c>
      <c r="BD298" s="76" t="b">
        <v>0</v>
      </c>
      <c r="BE298" s="76" t="b">
        <v>0</v>
      </c>
      <c r="BF298" s="76" t="b">
        <v>0</v>
      </c>
      <c r="BG298" s="76" t="b">
        <v>0</v>
      </c>
      <c r="BH298" s="83" t="str">
        <f>HYPERLINK("https://pbs.twimg.com/profile_banners/1634520106922385408/1691863016")</f>
        <v>https://pbs.twimg.com/profile_banners/1634520106922385408/1691863016</v>
      </c>
      <c r="BI298" s="76"/>
      <c r="BJ298" s="76" t="s">
        <v>7245</v>
      </c>
      <c r="BK298" s="76" t="b">
        <v>0</v>
      </c>
      <c r="BL298" s="76"/>
      <c r="BM298" s="76" t="s">
        <v>66</v>
      </c>
      <c r="BN298" s="76" t="s">
        <v>7247</v>
      </c>
      <c r="BO298" s="83" t="str">
        <f>HYPERLINK("https://twitter.com/dinheircripto")</f>
        <v>https://twitter.com/dinheircripto</v>
      </c>
      <c r="BP298" s="2"/>
    </row>
    <row r="299" spans="1:68" x14ac:dyDescent="0.25">
      <c r="A299" s="62" t="s">
        <v>577</v>
      </c>
      <c r="B299" s="63"/>
      <c r="C299" s="63"/>
      <c r="D299" s="64"/>
      <c r="E299" s="66"/>
      <c r="F299" s="102" t="str">
        <f>HYPERLINK("https://pbs.twimg.com/profile_images/1372989763217678336/yFt7G8wI_normal.jpg")</f>
        <v>https://pbs.twimg.com/profile_images/1372989763217678336/yFt7G8wI_normal.jpg</v>
      </c>
      <c r="G299" s="63"/>
      <c r="H299" s="67"/>
      <c r="I299" s="68"/>
      <c r="J299" s="68"/>
      <c r="K299" s="67" t="s">
        <v>7543</v>
      </c>
      <c r="L299" s="71"/>
      <c r="M299" s="72"/>
      <c r="N299" s="72"/>
      <c r="O299" s="73"/>
      <c r="P299" s="74"/>
      <c r="Q299" s="74"/>
      <c r="R299" s="86"/>
      <c r="S299" s="86"/>
      <c r="T299" s="86"/>
      <c r="U299" s="86"/>
      <c r="V299" s="48"/>
      <c r="W299" s="48"/>
      <c r="X299" s="48"/>
      <c r="Y299" s="48"/>
      <c r="Z299" s="47"/>
      <c r="AA299" s="69">
        <v>299</v>
      </c>
      <c r="AB299" s="69"/>
      <c r="AC299" s="70"/>
      <c r="AD299" s="76" t="s">
        <v>6420</v>
      </c>
      <c r="AE299" s="81" t="s">
        <v>5608</v>
      </c>
      <c r="AF299" s="76">
        <v>11594</v>
      </c>
      <c r="AG299" s="76">
        <v>16</v>
      </c>
      <c r="AH299" s="76">
        <v>2045</v>
      </c>
      <c r="AI299" s="76">
        <v>59</v>
      </c>
      <c r="AJ299" s="76">
        <v>365</v>
      </c>
      <c r="AK299" s="76">
        <v>1161</v>
      </c>
      <c r="AL299" s="76" t="b">
        <v>0</v>
      </c>
      <c r="AM299" s="78">
        <v>44274.800428240742</v>
      </c>
      <c r="AN299" s="76" t="s">
        <v>3797</v>
      </c>
      <c r="AO299" s="76" t="s">
        <v>6940</v>
      </c>
      <c r="AP299" s="83" t="str">
        <f>HYPERLINK("https://t.co/woDEITmjiy")</f>
        <v>https://t.co/woDEITmjiy</v>
      </c>
      <c r="AQ299" s="83" t="str">
        <f>HYPERLINK("https://www.youtube.com/c/LigaCrypto")</f>
        <v>https://www.youtube.com/c/LigaCrypto</v>
      </c>
      <c r="AR299" s="76" t="s">
        <v>7163</v>
      </c>
      <c r="AS299" s="76"/>
      <c r="AT299" s="76"/>
      <c r="AU299" s="76"/>
      <c r="AV299" s="76"/>
      <c r="AW299" s="83" t="str">
        <f>HYPERLINK("https://t.co/woDEITmjiy")</f>
        <v>https://t.co/woDEITmjiy</v>
      </c>
      <c r="AX299" s="76" t="b">
        <v>0</v>
      </c>
      <c r="AY299" s="76"/>
      <c r="AZ299" s="76"/>
      <c r="BA299" s="76" t="b">
        <v>0</v>
      </c>
      <c r="BB299" s="76" t="b">
        <v>1</v>
      </c>
      <c r="BC299" s="76" t="b">
        <v>1</v>
      </c>
      <c r="BD299" s="76" t="b">
        <v>0</v>
      </c>
      <c r="BE299" s="76" t="b">
        <v>0</v>
      </c>
      <c r="BF299" s="76" t="b">
        <v>0</v>
      </c>
      <c r="BG299" s="76" t="b">
        <v>0</v>
      </c>
      <c r="BH299" s="83" t="str">
        <f>HYPERLINK("https://pbs.twimg.com/profile_banners/1372989363798339584/1658802578")</f>
        <v>https://pbs.twimg.com/profile_banners/1372989363798339584/1658802578</v>
      </c>
      <c r="BI299" s="76"/>
      <c r="BJ299" s="76" t="s">
        <v>7245</v>
      </c>
      <c r="BK299" s="76" t="b">
        <v>0</v>
      </c>
      <c r="BL299" s="76"/>
      <c r="BM299" s="76" t="s">
        <v>65</v>
      </c>
      <c r="BN299" s="76" t="s">
        <v>7247</v>
      </c>
      <c r="BO299" s="83" t="str">
        <f>HYPERLINK("https://twitter.com/ligacrypto")</f>
        <v>https://twitter.com/ligacrypto</v>
      </c>
      <c r="BP299" s="2"/>
    </row>
    <row r="300" spans="1:68" x14ac:dyDescent="0.25">
      <c r="A300" s="62" t="s">
        <v>506</v>
      </c>
      <c r="B300" s="63"/>
      <c r="C300" s="63"/>
      <c r="D300" s="64"/>
      <c r="E300" s="66"/>
      <c r="F300" s="102" t="str">
        <f>HYPERLINK("https://pbs.twimg.com/profile_images/1384152837223903241/67NM0rtX_normal.jpg")</f>
        <v>https://pbs.twimg.com/profile_images/1384152837223903241/67NM0rtX_normal.jpg</v>
      </c>
      <c r="G300" s="63"/>
      <c r="H300" s="67"/>
      <c r="I300" s="68"/>
      <c r="J300" s="68"/>
      <c r="K300" s="67" t="s">
        <v>7544</v>
      </c>
      <c r="L300" s="71"/>
      <c r="M300" s="72"/>
      <c r="N300" s="72"/>
      <c r="O300" s="73"/>
      <c r="P300" s="74"/>
      <c r="Q300" s="74"/>
      <c r="R300" s="86"/>
      <c r="S300" s="86"/>
      <c r="T300" s="86"/>
      <c r="U300" s="86"/>
      <c r="V300" s="48"/>
      <c r="W300" s="48"/>
      <c r="X300" s="48"/>
      <c r="Y300" s="48"/>
      <c r="Z300" s="47"/>
      <c r="AA300" s="69">
        <v>300</v>
      </c>
      <c r="AB300" s="69"/>
      <c r="AC300" s="70"/>
      <c r="AD300" s="76" t="s">
        <v>6421</v>
      </c>
      <c r="AE300" s="81" t="s">
        <v>6059</v>
      </c>
      <c r="AF300" s="76">
        <v>1185057</v>
      </c>
      <c r="AG300" s="76">
        <v>223</v>
      </c>
      <c r="AH300" s="76">
        <v>53563</v>
      </c>
      <c r="AI300" s="76">
        <v>1295</v>
      </c>
      <c r="AJ300" s="76">
        <v>800</v>
      </c>
      <c r="AK300" s="76">
        <v>1339</v>
      </c>
      <c r="AL300" s="76" t="b">
        <v>0</v>
      </c>
      <c r="AM300" s="78">
        <v>43860.742812500001</v>
      </c>
      <c r="AN300" s="76" t="s">
        <v>3752</v>
      </c>
      <c r="AO300" s="76"/>
      <c r="AP300" s="83" t="str">
        <f>HYPERLINK("https://t.co/hwoe6S56Iz")</f>
        <v>https://t.co/hwoe6S56Iz</v>
      </c>
      <c r="AQ300" s="83" t="str">
        <f>HYPERLINK("http://bit.ly/tw_bio_revistaoeste")</f>
        <v>http://bit.ly/tw_bio_revistaoeste</v>
      </c>
      <c r="AR300" s="76" t="s">
        <v>7164</v>
      </c>
      <c r="AS300" s="76"/>
      <c r="AT300" s="76"/>
      <c r="AU300" s="76"/>
      <c r="AV300" s="76">
        <v>1.70521559785902E+18</v>
      </c>
      <c r="AW300" s="83" t="str">
        <f>HYPERLINK("https://t.co/hwoe6S56Iz")</f>
        <v>https://t.co/hwoe6S56Iz</v>
      </c>
      <c r="AX300" s="76" t="b">
        <v>1</v>
      </c>
      <c r="AY300" s="76"/>
      <c r="AZ300" s="76"/>
      <c r="BA300" s="76" t="b">
        <v>1</v>
      </c>
      <c r="BB300" s="76" t="b">
        <v>1</v>
      </c>
      <c r="BC300" s="76" t="b">
        <v>1</v>
      </c>
      <c r="BD300" s="76" t="b">
        <v>0</v>
      </c>
      <c r="BE300" s="76" t="b">
        <v>1</v>
      </c>
      <c r="BF300" s="76" t="b">
        <v>0</v>
      </c>
      <c r="BG300" s="76" t="b">
        <v>0</v>
      </c>
      <c r="BH300" s="83" t="str">
        <f>HYPERLINK("https://pbs.twimg.com/profile_banners/1222939896349970432/1584125714")</f>
        <v>https://pbs.twimg.com/profile_banners/1222939896349970432/1584125714</v>
      </c>
      <c r="BI300" s="76"/>
      <c r="BJ300" s="76" t="s">
        <v>7245</v>
      </c>
      <c r="BK300" s="76" t="b">
        <v>0</v>
      </c>
      <c r="BL300" s="76"/>
      <c r="BM300" s="76" t="s">
        <v>66</v>
      </c>
      <c r="BN300" s="76" t="s">
        <v>7247</v>
      </c>
      <c r="BO300" s="83" t="str">
        <f>HYPERLINK("https://twitter.com/revistaoeste")</f>
        <v>https://twitter.com/revistaoeste</v>
      </c>
      <c r="BP300" s="2"/>
    </row>
    <row r="301" spans="1:68" x14ac:dyDescent="0.25">
      <c r="A301" s="62" t="s">
        <v>507</v>
      </c>
      <c r="B301" s="63"/>
      <c r="C301" s="63"/>
      <c r="D301" s="64"/>
      <c r="E301" s="66"/>
      <c r="F301" s="102" t="str">
        <f>HYPERLINK("https://pbs.twimg.com/profile_images/1615829050617995264/1VDz8hUY_normal.jpg")</f>
        <v>https://pbs.twimg.com/profile_images/1615829050617995264/1VDz8hUY_normal.jpg</v>
      </c>
      <c r="G301" s="63"/>
      <c r="H301" s="67"/>
      <c r="I301" s="68"/>
      <c r="J301" s="68"/>
      <c r="K301" s="67" t="s">
        <v>7545</v>
      </c>
      <c r="L301" s="71"/>
      <c r="M301" s="72"/>
      <c r="N301" s="72"/>
      <c r="O301" s="73"/>
      <c r="P301" s="74"/>
      <c r="Q301" s="74"/>
      <c r="R301" s="86"/>
      <c r="S301" s="86"/>
      <c r="T301" s="86"/>
      <c r="U301" s="86"/>
      <c r="V301" s="48"/>
      <c r="W301" s="48"/>
      <c r="X301" s="48"/>
      <c r="Y301" s="48"/>
      <c r="Z301" s="47"/>
      <c r="AA301" s="69">
        <v>301</v>
      </c>
      <c r="AB301" s="69"/>
      <c r="AC301" s="70"/>
      <c r="AD301" s="76" t="s">
        <v>6422</v>
      </c>
      <c r="AE301" s="81" t="s">
        <v>6537</v>
      </c>
      <c r="AF301" s="76">
        <v>698</v>
      </c>
      <c r="AG301" s="76">
        <v>3236</v>
      </c>
      <c r="AH301" s="76">
        <v>15100</v>
      </c>
      <c r="AI301" s="76">
        <v>15</v>
      </c>
      <c r="AJ301" s="76">
        <v>48750</v>
      </c>
      <c r="AK301" s="76">
        <v>459</v>
      </c>
      <c r="AL301" s="76" t="b">
        <v>0</v>
      </c>
      <c r="AM301" s="78">
        <v>39931.522175925929</v>
      </c>
      <c r="AN301" s="76" t="s">
        <v>6656</v>
      </c>
      <c r="AO301" s="76" t="s">
        <v>6941</v>
      </c>
      <c r="AP301" s="83" t="str">
        <f>HYPERLINK("https://t.co/T43Z8yfKPM")</f>
        <v>https://t.co/T43Z8yfKPM</v>
      </c>
      <c r="AQ301" s="83" t="str">
        <f>HYPERLINK("https://instagram.com/marcoscleberc?igshid=NTA5ZTk1NTc=")</f>
        <v>https://instagram.com/marcoscleberc?igshid=NTA5ZTk1NTc=</v>
      </c>
      <c r="AR301" s="76" t="s">
        <v>7165</v>
      </c>
      <c r="AS301" s="76"/>
      <c r="AT301" s="76"/>
      <c r="AU301" s="76"/>
      <c r="AV301" s="76"/>
      <c r="AW301" s="83" t="str">
        <f>HYPERLINK("https://t.co/T43Z8yfKPM")</f>
        <v>https://t.co/T43Z8yfKPM</v>
      </c>
      <c r="AX301" s="76" t="b">
        <v>0</v>
      </c>
      <c r="AY301" s="76"/>
      <c r="AZ301" s="76"/>
      <c r="BA301" s="76" t="b">
        <v>0</v>
      </c>
      <c r="BB301" s="76" t="b">
        <v>0</v>
      </c>
      <c r="BC301" s="76" t="b">
        <v>0</v>
      </c>
      <c r="BD301" s="76" t="b">
        <v>0</v>
      </c>
      <c r="BE301" s="76" t="b">
        <v>1</v>
      </c>
      <c r="BF301" s="76" t="b">
        <v>0</v>
      </c>
      <c r="BG301" s="76" t="b">
        <v>1</v>
      </c>
      <c r="BH301" s="83" t="str">
        <f>HYPERLINK("https://pbs.twimg.com/profile_banners/36052366/1397514004")</f>
        <v>https://pbs.twimg.com/profile_banners/36052366/1397514004</v>
      </c>
      <c r="BI301" s="76"/>
      <c r="BJ301" s="76" t="s">
        <v>7245</v>
      </c>
      <c r="BK301" s="76" t="b">
        <v>0</v>
      </c>
      <c r="BL301" s="76"/>
      <c r="BM301" s="76" t="s">
        <v>66</v>
      </c>
      <c r="BN301" s="76" t="s">
        <v>7247</v>
      </c>
      <c r="BO301" s="83" t="str">
        <f>HYPERLINK("https://twitter.com/marcoscleberc")</f>
        <v>https://twitter.com/marcoscleberc</v>
      </c>
      <c r="BP301" s="2"/>
    </row>
    <row r="302" spans="1:68" x14ac:dyDescent="0.25">
      <c r="A302" s="62" t="s">
        <v>508</v>
      </c>
      <c r="B302" s="63"/>
      <c r="C302" s="63"/>
      <c r="D302" s="64"/>
      <c r="E302" s="66"/>
      <c r="F302" s="102" t="str">
        <f>HYPERLINK("https://pbs.twimg.com/profile_images/1587939701658361857/J6hKrQhN_normal.jpg")</f>
        <v>https://pbs.twimg.com/profile_images/1587939701658361857/J6hKrQhN_normal.jpg</v>
      </c>
      <c r="G302" s="63"/>
      <c r="H302" s="67"/>
      <c r="I302" s="68"/>
      <c r="J302" s="68"/>
      <c r="K302" s="67" t="s">
        <v>7546</v>
      </c>
      <c r="L302" s="71"/>
      <c r="M302" s="72"/>
      <c r="N302" s="72"/>
      <c r="O302" s="73"/>
      <c r="P302" s="74"/>
      <c r="Q302" s="74"/>
      <c r="R302" s="86"/>
      <c r="S302" s="86"/>
      <c r="T302" s="86"/>
      <c r="U302" s="86"/>
      <c r="V302" s="48"/>
      <c r="W302" s="48"/>
      <c r="X302" s="48"/>
      <c r="Y302" s="48"/>
      <c r="Z302" s="47"/>
      <c r="AA302" s="69">
        <v>302</v>
      </c>
      <c r="AB302" s="69"/>
      <c r="AC302" s="70"/>
      <c r="AD302" s="76" t="s">
        <v>6423</v>
      </c>
      <c r="AE302" s="81" t="s">
        <v>6538</v>
      </c>
      <c r="AF302" s="76">
        <v>142</v>
      </c>
      <c r="AG302" s="76">
        <v>504</v>
      </c>
      <c r="AH302" s="76">
        <v>3692</v>
      </c>
      <c r="AI302" s="76">
        <v>0</v>
      </c>
      <c r="AJ302" s="76">
        <v>11</v>
      </c>
      <c r="AK302" s="76">
        <v>8</v>
      </c>
      <c r="AL302" s="76" t="b">
        <v>0</v>
      </c>
      <c r="AM302" s="78">
        <v>41292.554212962961</v>
      </c>
      <c r="AN302" s="76" t="s">
        <v>6657</v>
      </c>
      <c r="AO302" s="76"/>
      <c r="AP302" s="76"/>
      <c r="AQ302" s="76"/>
      <c r="AR302" s="76"/>
      <c r="AS302" s="76"/>
      <c r="AT302" s="76"/>
      <c r="AU302" s="76"/>
      <c r="AV302" s="76"/>
      <c r="AW302" s="76"/>
      <c r="AX302" s="76" t="b">
        <v>0</v>
      </c>
      <c r="AY302" s="76"/>
      <c r="AZ302" s="76"/>
      <c r="BA302" s="76" t="b">
        <v>0</v>
      </c>
      <c r="BB302" s="76" t="b">
        <v>0</v>
      </c>
      <c r="BC302" s="76" t="b">
        <v>0</v>
      </c>
      <c r="BD302" s="76" t="b">
        <v>0</v>
      </c>
      <c r="BE302" s="76" t="b">
        <v>0</v>
      </c>
      <c r="BF302" s="76" t="b">
        <v>0</v>
      </c>
      <c r="BG302" s="76" t="b">
        <v>0</v>
      </c>
      <c r="BH302" s="83" t="str">
        <f>HYPERLINK("https://pbs.twimg.com/profile_banners/1100961079/1662372270")</f>
        <v>https://pbs.twimg.com/profile_banners/1100961079/1662372270</v>
      </c>
      <c r="BI302" s="76"/>
      <c r="BJ302" s="76" t="s">
        <v>7245</v>
      </c>
      <c r="BK302" s="76" t="b">
        <v>0</v>
      </c>
      <c r="BL302" s="76"/>
      <c r="BM302" s="76" t="s">
        <v>66</v>
      </c>
      <c r="BN302" s="76" t="s">
        <v>7247</v>
      </c>
      <c r="BO302" s="83" t="str">
        <f>HYPERLINK("https://twitter.com/micerchiari")</f>
        <v>https://twitter.com/micerchiari</v>
      </c>
      <c r="BP302" s="2"/>
    </row>
    <row r="303" spans="1:68" x14ac:dyDescent="0.25">
      <c r="A303" s="62" t="s">
        <v>509</v>
      </c>
      <c r="B303" s="63"/>
      <c r="C303" s="63"/>
      <c r="D303" s="64"/>
      <c r="E303" s="66"/>
      <c r="F303" s="102" t="str">
        <f>HYPERLINK("https://pbs.twimg.com/profile_images/1616020041245536258/7Fcsppf6_normal.jpg")</f>
        <v>https://pbs.twimg.com/profile_images/1616020041245536258/7Fcsppf6_normal.jpg</v>
      </c>
      <c r="G303" s="63"/>
      <c r="H303" s="67"/>
      <c r="I303" s="68"/>
      <c r="J303" s="68"/>
      <c r="K303" s="67" t="s">
        <v>7547</v>
      </c>
      <c r="L303" s="71"/>
      <c r="M303" s="72"/>
      <c r="N303" s="72"/>
      <c r="O303" s="73"/>
      <c r="P303" s="74"/>
      <c r="Q303" s="74"/>
      <c r="R303" s="86"/>
      <c r="S303" s="86"/>
      <c r="T303" s="86"/>
      <c r="U303" s="86"/>
      <c r="V303" s="48"/>
      <c r="W303" s="48"/>
      <c r="X303" s="48"/>
      <c r="Y303" s="48"/>
      <c r="Z303" s="47"/>
      <c r="AA303" s="69">
        <v>303</v>
      </c>
      <c r="AB303" s="69"/>
      <c r="AC303" s="70"/>
      <c r="AD303" s="76" t="s">
        <v>6424</v>
      </c>
      <c r="AE303" s="81" t="s">
        <v>6060</v>
      </c>
      <c r="AF303" s="76">
        <v>1</v>
      </c>
      <c r="AG303" s="76">
        <v>6</v>
      </c>
      <c r="AH303" s="76">
        <v>45</v>
      </c>
      <c r="AI303" s="76">
        <v>0</v>
      </c>
      <c r="AJ303" s="76">
        <v>5</v>
      </c>
      <c r="AK303" s="76">
        <v>42</v>
      </c>
      <c r="AL303" s="76" t="b">
        <v>0</v>
      </c>
      <c r="AM303" s="78">
        <v>44945.434131944443</v>
      </c>
      <c r="AN303" s="76" t="s">
        <v>6658</v>
      </c>
      <c r="AO303" s="76" t="s">
        <v>6942</v>
      </c>
      <c r="AP303" s="83" t="str">
        <f>HYPERLINK("https://t.co/Rk2STcm4BX")</f>
        <v>https://t.co/Rk2STcm4BX</v>
      </c>
      <c r="AQ303" s="83" t="str">
        <f>HYPERLINK("http://graphichood.com/")</f>
        <v>http://graphichood.com/</v>
      </c>
      <c r="AR303" s="76" t="s">
        <v>7166</v>
      </c>
      <c r="AS303" s="76"/>
      <c r="AT303" s="76"/>
      <c r="AU303" s="76"/>
      <c r="AV303" s="76"/>
      <c r="AW303" s="83" t="str">
        <f>HYPERLINK("https://t.co/Rk2STcm4BX")</f>
        <v>https://t.co/Rk2STcm4BX</v>
      </c>
      <c r="AX303" s="76" t="b">
        <v>0</v>
      </c>
      <c r="AY303" s="76"/>
      <c r="AZ303" s="76"/>
      <c r="BA303" s="76" t="b">
        <v>0</v>
      </c>
      <c r="BB303" s="76" t="b">
        <v>1</v>
      </c>
      <c r="BC303" s="76" t="b">
        <v>1</v>
      </c>
      <c r="BD303" s="76" t="b">
        <v>0</v>
      </c>
      <c r="BE303" s="76" t="b">
        <v>0</v>
      </c>
      <c r="BF303" s="76" t="b">
        <v>0</v>
      </c>
      <c r="BG303" s="76" t="b">
        <v>0</v>
      </c>
      <c r="BH303" s="83" t="str">
        <f>HYPERLINK("https://pbs.twimg.com/profile_banners/1616018817733525506/1674450564")</f>
        <v>https://pbs.twimg.com/profile_banners/1616018817733525506/1674450564</v>
      </c>
      <c r="BI303" s="76"/>
      <c r="BJ303" s="76" t="s">
        <v>7245</v>
      </c>
      <c r="BK303" s="76" t="b">
        <v>0</v>
      </c>
      <c r="BL303" s="76"/>
      <c r="BM303" s="76" t="s">
        <v>66</v>
      </c>
      <c r="BN303" s="76" t="s">
        <v>7247</v>
      </c>
      <c r="BO303" s="83" t="str">
        <f>HYPERLINK("https://twitter.com/graphic_hood")</f>
        <v>https://twitter.com/graphic_hood</v>
      </c>
      <c r="BP303" s="2"/>
    </row>
    <row r="304" spans="1:68" x14ac:dyDescent="0.25">
      <c r="A304" s="62" t="s">
        <v>578</v>
      </c>
      <c r="B304" s="63"/>
      <c r="C304" s="63"/>
      <c r="D304" s="64"/>
      <c r="E304" s="66"/>
      <c r="F304" s="102" t="str">
        <f>HYPERLINK("https://pbs.twimg.com/profile_images/1515284647995146242/3atrKo2a_normal.jpg")</f>
        <v>https://pbs.twimg.com/profile_images/1515284647995146242/3atrKo2a_normal.jpg</v>
      </c>
      <c r="G304" s="63"/>
      <c r="H304" s="67"/>
      <c r="I304" s="68"/>
      <c r="J304" s="68"/>
      <c r="K304" s="67" t="s">
        <v>7548</v>
      </c>
      <c r="L304" s="71"/>
      <c r="M304" s="72"/>
      <c r="N304" s="72"/>
      <c r="O304" s="73"/>
      <c r="P304" s="74"/>
      <c r="Q304" s="74"/>
      <c r="R304" s="86"/>
      <c r="S304" s="86"/>
      <c r="T304" s="86"/>
      <c r="U304" s="86"/>
      <c r="V304" s="48"/>
      <c r="W304" s="48"/>
      <c r="X304" s="48"/>
      <c r="Y304" s="48"/>
      <c r="Z304" s="47"/>
      <c r="AA304" s="69">
        <v>304</v>
      </c>
      <c r="AB304" s="69"/>
      <c r="AC304" s="70"/>
      <c r="AD304" s="76" t="s">
        <v>6425</v>
      </c>
      <c r="AE304" s="81" t="s">
        <v>6539</v>
      </c>
      <c r="AF304" s="76">
        <v>2980</v>
      </c>
      <c r="AG304" s="76">
        <v>4922</v>
      </c>
      <c r="AH304" s="76">
        <v>5782</v>
      </c>
      <c r="AI304" s="76">
        <v>9</v>
      </c>
      <c r="AJ304" s="76">
        <v>11513</v>
      </c>
      <c r="AK304" s="76">
        <v>186</v>
      </c>
      <c r="AL304" s="76" t="b">
        <v>0</v>
      </c>
      <c r="AM304" s="78">
        <v>43758.754629629628</v>
      </c>
      <c r="AN304" s="76" t="s">
        <v>6659</v>
      </c>
      <c r="AO304" s="76" t="s">
        <v>6943</v>
      </c>
      <c r="AP304" s="83" t="str">
        <f>HYPERLINK("https://t.co/i3GJ4mwS3x")</f>
        <v>https://t.co/i3GJ4mwS3x</v>
      </c>
      <c r="AQ304" s="83" t="str">
        <f>HYPERLINK("https://dribbble.com/Artex7")</f>
        <v>https://dribbble.com/Artex7</v>
      </c>
      <c r="AR304" s="76" t="s">
        <v>7167</v>
      </c>
      <c r="AS304" s="76"/>
      <c r="AT304" s="76"/>
      <c r="AU304" s="76"/>
      <c r="AV304" s="76"/>
      <c r="AW304" s="83" t="str">
        <f>HYPERLINK("https://t.co/i3GJ4mwS3x")</f>
        <v>https://t.co/i3GJ4mwS3x</v>
      </c>
      <c r="AX304" s="76" t="b">
        <v>0</v>
      </c>
      <c r="AY304" s="76"/>
      <c r="AZ304" s="76"/>
      <c r="BA304" s="76" t="b">
        <v>0</v>
      </c>
      <c r="BB304" s="76" t="b">
        <v>1</v>
      </c>
      <c r="BC304" s="76" t="b">
        <v>1</v>
      </c>
      <c r="BD304" s="76" t="b">
        <v>0</v>
      </c>
      <c r="BE304" s="76" t="b">
        <v>0</v>
      </c>
      <c r="BF304" s="76" t="b">
        <v>0</v>
      </c>
      <c r="BG304" s="76" t="b">
        <v>0</v>
      </c>
      <c r="BH304" s="83" t="str">
        <f>HYPERLINK("https://pbs.twimg.com/profile_banners/1185980620628905984/1586463560")</f>
        <v>https://pbs.twimg.com/profile_banners/1185980620628905984/1586463560</v>
      </c>
      <c r="BI304" s="76"/>
      <c r="BJ304" s="76" t="s">
        <v>7245</v>
      </c>
      <c r="BK304" s="76" t="b">
        <v>0</v>
      </c>
      <c r="BL304" s="76"/>
      <c r="BM304" s="76" t="s">
        <v>65</v>
      </c>
      <c r="BN304" s="76" t="s">
        <v>7247</v>
      </c>
      <c r="BO304" s="83" t="str">
        <f>HYPERLINK("https://twitter.com/vectplus7")</f>
        <v>https://twitter.com/vectplus7</v>
      </c>
      <c r="BP304" s="2"/>
    </row>
    <row r="305" spans="1:68" x14ac:dyDescent="0.25">
      <c r="A305" s="62" t="s">
        <v>510</v>
      </c>
      <c r="B305" s="63"/>
      <c r="C305" s="63"/>
      <c r="D305" s="64"/>
      <c r="E305" s="66"/>
      <c r="F305" s="102" t="str">
        <f>HYPERLINK("https://pbs.twimg.com/profile_images/1649855069355909121/SaNTSIuQ_normal.jpg")</f>
        <v>https://pbs.twimg.com/profile_images/1649855069355909121/SaNTSIuQ_normal.jpg</v>
      </c>
      <c r="G305" s="63"/>
      <c r="H305" s="67"/>
      <c r="I305" s="68"/>
      <c r="J305" s="68"/>
      <c r="K305" s="67" t="s">
        <v>7549</v>
      </c>
      <c r="L305" s="71"/>
      <c r="M305" s="72"/>
      <c r="N305" s="72"/>
      <c r="O305" s="73"/>
      <c r="P305" s="74"/>
      <c r="Q305" s="74"/>
      <c r="R305" s="86"/>
      <c r="S305" s="86"/>
      <c r="T305" s="86"/>
      <c r="U305" s="86"/>
      <c r="V305" s="48"/>
      <c r="W305" s="48"/>
      <c r="X305" s="48"/>
      <c r="Y305" s="48"/>
      <c r="Z305" s="47"/>
      <c r="AA305" s="69">
        <v>305</v>
      </c>
      <c r="AB305" s="69"/>
      <c r="AC305" s="70"/>
      <c r="AD305" s="76" t="s">
        <v>6426</v>
      </c>
      <c r="AE305" s="81" t="s">
        <v>6061</v>
      </c>
      <c r="AF305" s="76">
        <v>7</v>
      </c>
      <c r="AG305" s="76">
        <v>6</v>
      </c>
      <c r="AH305" s="76">
        <v>628</v>
      </c>
      <c r="AI305" s="76">
        <v>0</v>
      </c>
      <c r="AJ305" s="76">
        <v>62</v>
      </c>
      <c r="AK305" s="76">
        <v>82</v>
      </c>
      <c r="AL305" s="76" t="b">
        <v>0</v>
      </c>
      <c r="AM305" s="78">
        <v>44389.352268518516</v>
      </c>
      <c r="AN305" s="76" t="s">
        <v>6579</v>
      </c>
      <c r="AO305" s="76" t="s">
        <v>6944</v>
      </c>
      <c r="AP305" s="83" t="str">
        <f>HYPERLINK("https://t.co/if8J4Pvl4s")</f>
        <v>https://t.co/if8J4Pvl4s</v>
      </c>
      <c r="AQ305" s="83" t="str">
        <f>HYPERLINK("https://linktr.ee/maniampodcast")</f>
        <v>https://linktr.ee/maniampodcast</v>
      </c>
      <c r="AR305" s="76" t="s">
        <v>7168</v>
      </c>
      <c r="AS305" s="76"/>
      <c r="AT305" s="76"/>
      <c r="AU305" s="76"/>
      <c r="AV305" s="76">
        <v>1.6785694536409001E+18</v>
      </c>
      <c r="AW305" s="83" t="str">
        <f>HYPERLINK("https://t.co/if8J4Pvl4s")</f>
        <v>https://t.co/if8J4Pvl4s</v>
      </c>
      <c r="AX305" s="76" t="b">
        <v>0</v>
      </c>
      <c r="AY305" s="76"/>
      <c r="AZ305" s="76"/>
      <c r="BA305" s="76" t="b">
        <v>0</v>
      </c>
      <c r="BB305" s="76" t="b">
        <v>1</v>
      </c>
      <c r="BC305" s="76" t="b">
        <v>1</v>
      </c>
      <c r="BD305" s="76" t="b">
        <v>0</v>
      </c>
      <c r="BE305" s="76" t="b">
        <v>0</v>
      </c>
      <c r="BF305" s="76" t="b">
        <v>0</v>
      </c>
      <c r="BG305" s="76" t="b">
        <v>0</v>
      </c>
      <c r="BH305" s="83" t="str">
        <f>HYPERLINK("https://pbs.twimg.com/profile_banners/1414501510285758466/1682191075")</f>
        <v>https://pbs.twimg.com/profile_banners/1414501510285758466/1682191075</v>
      </c>
      <c r="BI305" s="76"/>
      <c r="BJ305" s="76" t="s">
        <v>7245</v>
      </c>
      <c r="BK305" s="76" t="b">
        <v>0</v>
      </c>
      <c r="BL305" s="76"/>
      <c r="BM305" s="76" t="s">
        <v>66</v>
      </c>
      <c r="BN305" s="76" t="s">
        <v>7247</v>
      </c>
      <c r="BO305" s="83" t="str">
        <f>HYPERLINK("https://twitter.com/maniam_podcast")</f>
        <v>https://twitter.com/maniam_podcast</v>
      </c>
      <c r="BP305" s="2"/>
    </row>
    <row r="306" spans="1:68" x14ac:dyDescent="0.25">
      <c r="A306" s="62" t="s">
        <v>511</v>
      </c>
      <c r="B306" s="63"/>
      <c r="C306" s="63"/>
      <c r="D306" s="64"/>
      <c r="E306" s="66"/>
      <c r="F306" s="102" t="str">
        <f>HYPERLINK("https://pbs.twimg.com/profile_images/1621310918595416065/9ZKSf1Np_normal.jpg")</f>
        <v>https://pbs.twimg.com/profile_images/1621310918595416065/9ZKSf1Np_normal.jpg</v>
      </c>
      <c r="G306" s="63"/>
      <c r="H306" s="67"/>
      <c r="I306" s="68"/>
      <c r="J306" s="68"/>
      <c r="K306" s="67" t="s">
        <v>7550</v>
      </c>
      <c r="L306" s="71"/>
      <c r="M306" s="72"/>
      <c r="N306" s="72"/>
      <c r="O306" s="73"/>
      <c r="P306" s="74"/>
      <c r="Q306" s="74"/>
      <c r="R306" s="86"/>
      <c r="S306" s="86"/>
      <c r="T306" s="86"/>
      <c r="U306" s="86"/>
      <c r="V306" s="48"/>
      <c r="W306" s="48"/>
      <c r="X306" s="48"/>
      <c r="Y306" s="48"/>
      <c r="Z306" s="47"/>
      <c r="AA306" s="69">
        <v>306</v>
      </c>
      <c r="AB306" s="69"/>
      <c r="AC306" s="70"/>
      <c r="AD306" s="76" t="s">
        <v>6427</v>
      </c>
      <c r="AE306" s="81" t="s">
        <v>6062</v>
      </c>
      <c r="AF306" s="76">
        <v>0</v>
      </c>
      <c r="AG306" s="76">
        <v>7</v>
      </c>
      <c r="AH306" s="76">
        <v>7</v>
      </c>
      <c r="AI306" s="76">
        <v>0</v>
      </c>
      <c r="AJ306" s="76">
        <v>1</v>
      </c>
      <c r="AK306" s="76">
        <v>4</v>
      </c>
      <c r="AL306" s="76" t="b">
        <v>0</v>
      </c>
      <c r="AM306" s="78">
        <v>44905.784004629626</v>
      </c>
      <c r="AN306" s="76" t="s">
        <v>3771</v>
      </c>
      <c r="AO306" s="76" t="s">
        <v>6945</v>
      </c>
      <c r="AP306" s="83" t="str">
        <f>HYPERLINK("https://t.co/YaIJNdPJRx")</f>
        <v>https://t.co/YaIJNdPJRx</v>
      </c>
      <c r="AQ306" s="83" t="str">
        <f>HYPERLINK("https://bit.ly/_Primeiravenda_")</f>
        <v>https://bit.ly/_Primeiravenda_</v>
      </c>
      <c r="AR306" s="76" t="s">
        <v>7169</v>
      </c>
      <c r="AS306" s="76"/>
      <c r="AT306" s="76"/>
      <c r="AU306" s="76"/>
      <c r="AV306" s="76"/>
      <c r="AW306" s="83" t="str">
        <f>HYPERLINK("https://t.co/YaIJNdPJRx")</f>
        <v>https://t.co/YaIJNdPJRx</v>
      </c>
      <c r="AX306" s="76" t="b">
        <v>0</v>
      </c>
      <c r="AY306" s="76"/>
      <c r="AZ306" s="76"/>
      <c r="BA306" s="76" t="b">
        <v>0</v>
      </c>
      <c r="BB306" s="76" t="b">
        <v>1</v>
      </c>
      <c r="BC306" s="76" t="b">
        <v>1</v>
      </c>
      <c r="BD306" s="76" t="b">
        <v>0</v>
      </c>
      <c r="BE306" s="76" t="b">
        <v>0</v>
      </c>
      <c r="BF306" s="76" t="b">
        <v>0</v>
      </c>
      <c r="BG306" s="76" t="b">
        <v>0</v>
      </c>
      <c r="BH306" s="83" t="str">
        <f>HYPERLINK("https://pbs.twimg.com/profile_banners/1601650089537277957/1675385620")</f>
        <v>https://pbs.twimg.com/profile_banners/1601650089537277957/1675385620</v>
      </c>
      <c r="BI306" s="76"/>
      <c r="BJ306" s="76" t="s">
        <v>7245</v>
      </c>
      <c r="BK306" s="76" t="b">
        <v>0</v>
      </c>
      <c r="BL306" s="76"/>
      <c r="BM306" s="76" t="s">
        <v>66</v>
      </c>
      <c r="BN306" s="76" t="s">
        <v>7247</v>
      </c>
      <c r="BO306" s="83" t="str">
        <f>HYPERLINK("https://twitter.com/aryannevictori5")</f>
        <v>https://twitter.com/aryannevictori5</v>
      </c>
      <c r="BP306" s="2"/>
    </row>
    <row r="307" spans="1:68" x14ac:dyDescent="0.25">
      <c r="A307" s="62" t="s">
        <v>512</v>
      </c>
      <c r="B307" s="63"/>
      <c r="C307" s="63"/>
      <c r="D307" s="64"/>
      <c r="E307" s="66"/>
      <c r="F307" s="102" t="str">
        <f>HYPERLINK("https://pbs.twimg.com/profile_images/1479504305015205892/z9LtNU8X_normal.jpg")</f>
        <v>https://pbs.twimg.com/profile_images/1479504305015205892/z9LtNU8X_normal.jpg</v>
      </c>
      <c r="G307" s="63"/>
      <c r="H307" s="67"/>
      <c r="I307" s="68"/>
      <c r="J307" s="68"/>
      <c r="K307" s="67" t="s">
        <v>7551</v>
      </c>
      <c r="L307" s="71"/>
      <c r="M307" s="72"/>
      <c r="N307" s="72"/>
      <c r="O307" s="73"/>
      <c r="P307" s="74"/>
      <c r="Q307" s="74"/>
      <c r="R307" s="86"/>
      <c r="S307" s="86"/>
      <c r="T307" s="86"/>
      <c r="U307" s="86"/>
      <c r="V307" s="48"/>
      <c r="W307" s="48"/>
      <c r="X307" s="48"/>
      <c r="Y307" s="48"/>
      <c r="Z307" s="47"/>
      <c r="AA307" s="69">
        <v>307</v>
      </c>
      <c r="AB307" s="69"/>
      <c r="AC307" s="70"/>
      <c r="AD307" s="76" t="s">
        <v>6428</v>
      </c>
      <c r="AE307" s="81" t="s">
        <v>6063</v>
      </c>
      <c r="AF307" s="76">
        <v>52</v>
      </c>
      <c r="AG307" s="76">
        <v>1</v>
      </c>
      <c r="AH307" s="76">
        <v>7391</v>
      </c>
      <c r="AI307" s="76">
        <v>0</v>
      </c>
      <c r="AJ307" s="76">
        <v>12</v>
      </c>
      <c r="AK307" s="76">
        <v>6</v>
      </c>
      <c r="AL307" s="76" t="b">
        <v>0</v>
      </c>
      <c r="AM307" s="78">
        <v>44397.742939814816</v>
      </c>
      <c r="AN307" s="76"/>
      <c r="AO307" s="76" t="s">
        <v>6946</v>
      </c>
      <c r="AP307" s="83" t="str">
        <f>HYPERLINK("https://t.co/Dy9Dgauu4I")</f>
        <v>https://t.co/Dy9Dgauu4I</v>
      </c>
      <c r="AQ307" s="83" t="str">
        <f>HYPERLINK("https://reviewprodutos.com")</f>
        <v>https://reviewprodutos.com</v>
      </c>
      <c r="AR307" s="76" t="s">
        <v>7170</v>
      </c>
      <c r="AS307" s="83" t="str">
        <f>HYPERLINK("https://t.co/tmENzg9uQA")</f>
        <v>https://t.co/tmENzg9uQA</v>
      </c>
      <c r="AT307" s="83" t="str">
        <f>HYPERLINK("http://reviewprodutos.com")</f>
        <v>http://reviewprodutos.com</v>
      </c>
      <c r="AU307" s="76" t="s">
        <v>7170</v>
      </c>
      <c r="AV307" s="76"/>
      <c r="AW307" s="83" t="str">
        <f>HYPERLINK("https://t.co/Dy9Dgauu4I")</f>
        <v>https://t.co/Dy9Dgauu4I</v>
      </c>
      <c r="AX307" s="76" t="b">
        <v>0</v>
      </c>
      <c r="AY307" s="76"/>
      <c r="AZ307" s="76"/>
      <c r="BA307" s="76" t="b">
        <v>0</v>
      </c>
      <c r="BB307" s="76" t="b">
        <v>1</v>
      </c>
      <c r="BC307" s="76" t="b">
        <v>1</v>
      </c>
      <c r="BD307" s="76" t="b">
        <v>0</v>
      </c>
      <c r="BE307" s="76" t="b">
        <v>0</v>
      </c>
      <c r="BF307" s="76" t="b">
        <v>0</v>
      </c>
      <c r="BG307" s="76" t="b">
        <v>0</v>
      </c>
      <c r="BH307" s="83" t="str">
        <f>HYPERLINK("https://pbs.twimg.com/profile_banners/1417542239841103875/1641576291")</f>
        <v>https://pbs.twimg.com/profile_banners/1417542239841103875/1641576291</v>
      </c>
      <c r="BI307" s="76"/>
      <c r="BJ307" s="76" t="s">
        <v>7245</v>
      </c>
      <c r="BK307" s="76" t="b">
        <v>0</v>
      </c>
      <c r="BL307" s="76"/>
      <c r="BM307" s="76" t="s">
        <v>66</v>
      </c>
      <c r="BN307" s="76" t="s">
        <v>7247</v>
      </c>
      <c r="BO307" s="83" t="str">
        <f>HYPERLINK("https://twitter.com/bytresloucado")</f>
        <v>https://twitter.com/bytresloucado</v>
      </c>
      <c r="BP307" s="2"/>
    </row>
    <row r="308" spans="1:68" x14ac:dyDescent="0.25">
      <c r="A308" s="62" t="s">
        <v>513</v>
      </c>
      <c r="B308" s="63"/>
      <c r="C308" s="63"/>
      <c r="D308" s="64"/>
      <c r="E308" s="66"/>
      <c r="F308" s="102" t="str">
        <f>HYPERLINK("https://pbs.twimg.com/profile_images/1175050939851563008/r-fNtcSu_normal.jpg")</f>
        <v>https://pbs.twimg.com/profile_images/1175050939851563008/r-fNtcSu_normal.jpg</v>
      </c>
      <c r="G308" s="63"/>
      <c r="H308" s="67"/>
      <c r="I308" s="68"/>
      <c r="J308" s="68"/>
      <c r="K308" s="67" t="s">
        <v>7552</v>
      </c>
      <c r="L308" s="71"/>
      <c r="M308" s="72"/>
      <c r="N308" s="72"/>
      <c r="O308" s="73"/>
      <c r="P308" s="74"/>
      <c r="Q308" s="74"/>
      <c r="R308" s="86"/>
      <c r="S308" s="86"/>
      <c r="T308" s="86"/>
      <c r="U308" s="86"/>
      <c r="V308" s="48"/>
      <c r="W308" s="48"/>
      <c r="X308" s="48"/>
      <c r="Y308" s="48"/>
      <c r="Z308" s="47"/>
      <c r="AA308" s="69">
        <v>308</v>
      </c>
      <c r="AB308" s="69"/>
      <c r="AC308" s="70"/>
      <c r="AD308" s="76" t="s">
        <v>6429</v>
      </c>
      <c r="AE308" s="81" t="s">
        <v>6540</v>
      </c>
      <c r="AF308" s="76">
        <v>7</v>
      </c>
      <c r="AG308" s="76">
        <v>63</v>
      </c>
      <c r="AH308" s="76">
        <v>42</v>
      </c>
      <c r="AI308" s="76">
        <v>0</v>
      </c>
      <c r="AJ308" s="76">
        <v>158</v>
      </c>
      <c r="AK308" s="76">
        <v>6</v>
      </c>
      <c r="AL308" s="76" t="b">
        <v>0</v>
      </c>
      <c r="AM308" s="78">
        <v>42214.715601851851</v>
      </c>
      <c r="AN308" s="76" t="s">
        <v>3772</v>
      </c>
      <c r="AO308" s="76" t="s">
        <v>6947</v>
      </c>
      <c r="AP308" s="83" t="str">
        <f>HYPERLINK("https://t.co/7ghrTYKFbw")</f>
        <v>https://t.co/7ghrTYKFbw</v>
      </c>
      <c r="AQ308" s="83" t="str">
        <f>HYPERLINK("https://linktr.ee/afeducacao")</f>
        <v>https://linktr.ee/afeducacao</v>
      </c>
      <c r="AR308" s="76" t="s">
        <v>7171</v>
      </c>
      <c r="AS308" s="76"/>
      <c r="AT308" s="76"/>
      <c r="AU308" s="76"/>
      <c r="AV308" s="76"/>
      <c r="AW308" s="83" t="str">
        <f>HYPERLINK("https://t.co/7ghrTYKFbw")</f>
        <v>https://t.co/7ghrTYKFbw</v>
      </c>
      <c r="AX308" s="76" t="b">
        <v>0</v>
      </c>
      <c r="AY308" s="76"/>
      <c r="AZ308" s="76"/>
      <c r="BA308" s="76" t="b">
        <v>0</v>
      </c>
      <c r="BB308" s="76" t="b">
        <v>1</v>
      </c>
      <c r="BC308" s="76" t="b">
        <v>1</v>
      </c>
      <c r="BD308" s="76" t="b">
        <v>0</v>
      </c>
      <c r="BE308" s="76" t="b">
        <v>1</v>
      </c>
      <c r="BF308" s="76" t="b">
        <v>0</v>
      </c>
      <c r="BG308" s="76" t="b">
        <v>0</v>
      </c>
      <c r="BH308" s="76"/>
      <c r="BI308" s="76"/>
      <c r="BJ308" s="76" t="s">
        <v>7245</v>
      </c>
      <c r="BK308" s="76" t="b">
        <v>0</v>
      </c>
      <c r="BL308" s="76"/>
      <c r="BM308" s="76" t="s">
        <v>66</v>
      </c>
      <c r="BN308" s="76" t="s">
        <v>7247</v>
      </c>
      <c r="BO308" s="83" t="str">
        <f>HYPERLINK("https://twitter.com/afalcao93")</f>
        <v>https://twitter.com/afalcao93</v>
      </c>
      <c r="BP308" s="2"/>
    </row>
    <row r="309" spans="1:68" x14ac:dyDescent="0.25">
      <c r="A309" s="62" t="s">
        <v>514</v>
      </c>
      <c r="B309" s="63"/>
      <c r="C309" s="63"/>
      <c r="D309" s="64"/>
      <c r="E309" s="66"/>
      <c r="F309" s="102" t="str">
        <f>HYPERLINK("https://pbs.twimg.com/profile_images/1662395938676121601/QKW0OqKh_normal.jpg")</f>
        <v>https://pbs.twimg.com/profile_images/1662395938676121601/QKW0OqKh_normal.jpg</v>
      </c>
      <c r="G309" s="63"/>
      <c r="H309" s="67"/>
      <c r="I309" s="68"/>
      <c r="J309" s="68"/>
      <c r="K309" s="67" t="s">
        <v>7553</v>
      </c>
      <c r="L309" s="71"/>
      <c r="M309" s="72"/>
      <c r="N309" s="72"/>
      <c r="O309" s="73"/>
      <c r="P309" s="74"/>
      <c r="Q309" s="74"/>
      <c r="R309" s="86"/>
      <c r="S309" s="86"/>
      <c r="T309" s="86"/>
      <c r="U309" s="86"/>
      <c r="V309" s="48"/>
      <c r="W309" s="48"/>
      <c r="X309" s="48"/>
      <c r="Y309" s="48"/>
      <c r="Z309" s="47"/>
      <c r="AA309" s="69">
        <v>309</v>
      </c>
      <c r="AB309" s="69"/>
      <c r="AC309" s="70"/>
      <c r="AD309" s="76" t="s">
        <v>6430</v>
      </c>
      <c r="AE309" s="81" t="s">
        <v>6064</v>
      </c>
      <c r="AF309" s="76">
        <v>89</v>
      </c>
      <c r="AG309" s="76">
        <v>51</v>
      </c>
      <c r="AH309" s="76">
        <v>2692</v>
      </c>
      <c r="AI309" s="76">
        <v>0</v>
      </c>
      <c r="AJ309" s="76">
        <v>3271</v>
      </c>
      <c r="AK309" s="76">
        <v>110</v>
      </c>
      <c r="AL309" s="76" t="b">
        <v>0</v>
      </c>
      <c r="AM309" s="78">
        <v>44817.072638888887</v>
      </c>
      <c r="AN309" s="76" t="s">
        <v>3760</v>
      </c>
      <c r="AO309" s="76" t="s">
        <v>6948</v>
      </c>
      <c r="AP309" s="83" t="str">
        <f>HYPERLINK("https://t.co/zbEJHKj7yI")</f>
        <v>https://t.co/zbEJHKj7yI</v>
      </c>
      <c r="AQ309" s="83" t="str">
        <f>HYPERLINK("https://bio.site/Rodrigozampronio")</f>
        <v>https://bio.site/Rodrigozampronio</v>
      </c>
      <c r="AR309" s="76" t="s">
        <v>7172</v>
      </c>
      <c r="AS309" s="76"/>
      <c r="AT309" s="76"/>
      <c r="AU309" s="76"/>
      <c r="AV309" s="76"/>
      <c r="AW309" s="83" t="str">
        <f>HYPERLINK("https://t.co/zbEJHKj7yI")</f>
        <v>https://t.co/zbEJHKj7yI</v>
      </c>
      <c r="AX309" s="76" t="b">
        <v>1</v>
      </c>
      <c r="AY309" s="76"/>
      <c r="AZ309" s="76"/>
      <c r="BA309" s="76" t="b">
        <v>0</v>
      </c>
      <c r="BB309" s="76" t="b">
        <v>1</v>
      </c>
      <c r="BC309" s="76" t="b">
        <v>1</v>
      </c>
      <c r="BD309" s="76" t="b">
        <v>0</v>
      </c>
      <c r="BE309" s="76" t="b">
        <v>1</v>
      </c>
      <c r="BF309" s="76" t="b">
        <v>0</v>
      </c>
      <c r="BG309" s="76" t="b">
        <v>0</v>
      </c>
      <c r="BH309" s="83" t="str">
        <f>HYPERLINK("https://pbs.twimg.com/profile_banners/1569502155681464321/1689138374")</f>
        <v>https://pbs.twimg.com/profile_banners/1569502155681464321/1689138374</v>
      </c>
      <c r="BI309" s="76"/>
      <c r="BJ309" s="76" t="s">
        <v>7245</v>
      </c>
      <c r="BK309" s="76" t="b">
        <v>0</v>
      </c>
      <c r="BL309" s="76"/>
      <c r="BM309" s="76" t="s">
        <v>66</v>
      </c>
      <c r="BN309" s="76" t="s">
        <v>7247</v>
      </c>
      <c r="BO309" s="83" t="str">
        <f>HYPERLINK("https://twitter.com/rodzamppa")</f>
        <v>https://twitter.com/rodzamppa</v>
      </c>
      <c r="BP309" s="2"/>
    </row>
    <row r="310" spans="1:68" x14ac:dyDescent="0.25">
      <c r="A310" s="62" t="s">
        <v>515</v>
      </c>
      <c r="B310" s="63"/>
      <c r="C310" s="63"/>
      <c r="D310" s="64"/>
      <c r="E310" s="66"/>
      <c r="F310" s="102" t="str">
        <f>HYPERLINK("https://pbs.twimg.com/profile_images/1662027375285239813/9dxAQ1Kp_normal.jpg")</f>
        <v>https://pbs.twimg.com/profile_images/1662027375285239813/9dxAQ1Kp_normal.jpg</v>
      </c>
      <c r="G310" s="63"/>
      <c r="H310" s="67"/>
      <c r="I310" s="68"/>
      <c r="J310" s="68"/>
      <c r="K310" s="67" t="s">
        <v>7554</v>
      </c>
      <c r="L310" s="71"/>
      <c r="M310" s="72"/>
      <c r="N310" s="72"/>
      <c r="O310" s="73"/>
      <c r="P310" s="74"/>
      <c r="Q310" s="74"/>
      <c r="R310" s="86"/>
      <c r="S310" s="86"/>
      <c r="T310" s="86"/>
      <c r="U310" s="86"/>
      <c r="V310" s="48"/>
      <c r="W310" s="48"/>
      <c r="X310" s="48"/>
      <c r="Y310" s="48"/>
      <c r="Z310" s="47"/>
      <c r="AA310" s="69">
        <v>310</v>
      </c>
      <c r="AB310" s="69"/>
      <c r="AC310" s="70"/>
      <c r="AD310" s="76" t="s">
        <v>6431</v>
      </c>
      <c r="AE310" s="81" t="s">
        <v>6065</v>
      </c>
      <c r="AF310" s="76">
        <v>0</v>
      </c>
      <c r="AG310" s="76">
        <v>30</v>
      </c>
      <c r="AH310" s="76">
        <v>41</v>
      </c>
      <c r="AI310" s="76">
        <v>0</v>
      </c>
      <c r="AJ310" s="76">
        <v>0</v>
      </c>
      <c r="AK310" s="76">
        <v>38</v>
      </c>
      <c r="AL310" s="76" t="b">
        <v>0</v>
      </c>
      <c r="AM310" s="78">
        <v>45070.457592592589</v>
      </c>
      <c r="AN310" s="76" t="s">
        <v>6660</v>
      </c>
      <c r="AO310" s="76" t="s">
        <v>6949</v>
      </c>
      <c r="AP310" s="76"/>
      <c r="AQ310" s="76"/>
      <c r="AR310" s="76"/>
      <c r="AS310" s="76"/>
      <c r="AT310" s="76"/>
      <c r="AU310" s="76"/>
      <c r="AV310" s="76"/>
      <c r="AW310" s="76"/>
      <c r="AX310" s="76" t="b">
        <v>0</v>
      </c>
      <c r="AY310" s="76"/>
      <c r="AZ310" s="76"/>
      <c r="BA310" s="76" t="b">
        <v>0</v>
      </c>
      <c r="BB310" s="76" t="b">
        <v>1</v>
      </c>
      <c r="BC310" s="76" t="b">
        <v>1</v>
      </c>
      <c r="BD310" s="76" t="b">
        <v>0</v>
      </c>
      <c r="BE310" s="76" t="b">
        <v>0</v>
      </c>
      <c r="BF310" s="76" t="b">
        <v>0</v>
      </c>
      <c r="BG310" s="76" t="b">
        <v>0</v>
      </c>
      <c r="BH310" s="83" t="str">
        <f>HYPERLINK("https://pbs.twimg.com/profile_banners/1661325802779328513/1685093181")</f>
        <v>https://pbs.twimg.com/profile_banners/1661325802779328513/1685093181</v>
      </c>
      <c r="BI310" s="76"/>
      <c r="BJ310" s="76" t="s">
        <v>7245</v>
      </c>
      <c r="BK310" s="76" t="b">
        <v>0</v>
      </c>
      <c r="BL310" s="76"/>
      <c r="BM310" s="76" t="s">
        <v>66</v>
      </c>
      <c r="BN310" s="76" t="s">
        <v>7247</v>
      </c>
      <c r="BO310" s="83" t="str">
        <f>HYPERLINK("https://twitter.com/greenlandd41811")</f>
        <v>https://twitter.com/greenlandd41811</v>
      </c>
      <c r="BP310" s="2"/>
    </row>
    <row r="311" spans="1:68" x14ac:dyDescent="0.25">
      <c r="A311" s="62" t="s">
        <v>516</v>
      </c>
      <c r="B311" s="63"/>
      <c r="C311" s="63"/>
      <c r="D311" s="64"/>
      <c r="E311" s="66"/>
      <c r="F311" s="102" t="str">
        <f>HYPERLINK("https://pbs.twimg.com/profile_images/1679099889286782981/ty3-LiU8_normal.jpg")</f>
        <v>https://pbs.twimg.com/profile_images/1679099889286782981/ty3-LiU8_normal.jpg</v>
      </c>
      <c r="G311" s="63"/>
      <c r="H311" s="67"/>
      <c r="I311" s="68"/>
      <c r="J311" s="68"/>
      <c r="K311" s="67" t="s">
        <v>7555</v>
      </c>
      <c r="L311" s="71"/>
      <c r="M311" s="72"/>
      <c r="N311" s="72"/>
      <c r="O311" s="73"/>
      <c r="P311" s="74"/>
      <c r="Q311" s="74"/>
      <c r="R311" s="86"/>
      <c r="S311" s="86"/>
      <c r="T311" s="86"/>
      <c r="U311" s="86"/>
      <c r="V311" s="48"/>
      <c r="W311" s="48"/>
      <c r="X311" s="48"/>
      <c r="Y311" s="48"/>
      <c r="Z311" s="47"/>
      <c r="AA311" s="69">
        <v>311</v>
      </c>
      <c r="AB311" s="69"/>
      <c r="AC311" s="70"/>
      <c r="AD311" s="76" t="s">
        <v>6432</v>
      </c>
      <c r="AE311" s="81" t="s">
        <v>6066</v>
      </c>
      <c r="AF311" s="76">
        <v>5862</v>
      </c>
      <c r="AG311" s="76">
        <v>40</v>
      </c>
      <c r="AH311" s="76">
        <v>11673</v>
      </c>
      <c r="AI311" s="76">
        <v>36</v>
      </c>
      <c r="AJ311" s="76">
        <v>435</v>
      </c>
      <c r="AK311" s="76">
        <v>10589</v>
      </c>
      <c r="AL311" s="76" t="b">
        <v>0</v>
      </c>
      <c r="AM311" s="78">
        <v>43836.679247685184</v>
      </c>
      <c r="AN311" s="76"/>
      <c r="AO311" s="76" t="s">
        <v>6950</v>
      </c>
      <c r="AP311" s="83" t="str">
        <f>HYPERLINK("https://t.co/e9IukioWHm")</f>
        <v>https://t.co/e9IukioWHm</v>
      </c>
      <c r="AQ311" s="83" t="str">
        <f>HYPERLINK("http://kucoin.com")</f>
        <v>http://kucoin.com</v>
      </c>
      <c r="AR311" s="76" t="s">
        <v>2169</v>
      </c>
      <c r="AS311" s="76"/>
      <c r="AT311" s="76"/>
      <c r="AU311" s="76"/>
      <c r="AV311" s="76">
        <v>1.69744190996941E+18</v>
      </c>
      <c r="AW311" s="83" t="str">
        <f>HYPERLINK("https://t.co/e9IukioWHm")</f>
        <v>https://t.co/e9IukioWHm</v>
      </c>
      <c r="AX311" s="76" t="b">
        <v>0</v>
      </c>
      <c r="AY311" s="76"/>
      <c r="AZ311" s="76"/>
      <c r="BA311" s="76" t="b">
        <v>1</v>
      </c>
      <c r="BB311" s="76" t="b">
        <v>1</v>
      </c>
      <c r="BC311" s="76" t="b">
        <v>1</v>
      </c>
      <c r="BD311" s="76" t="b">
        <v>0</v>
      </c>
      <c r="BE311" s="76" t="b">
        <v>0</v>
      </c>
      <c r="BF311" s="76" t="b">
        <v>0</v>
      </c>
      <c r="BG311" s="76" t="b">
        <v>0</v>
      </c>
      <c r="BH311" s="83" t="str">
        <f>HYPERLINK("https://pbs.twimg.com/profile_banners/1214219559449661440/1689164145")</f>
        <v>https://pbs.twimg.com/profile_banners/1214219559449661440/1689164145</v>
      </c>
      <c r="BI311" s="76"/>
      <c r="BJ311" s="76" t="s">
        <v>7245</v>
      </c>
      <c r="BK311" s="76" t="b">
        <v>0</v>
      </c>
      <c r="BL311" s="76"/>
      <c r="BM311" s="76" t="s">
        <v>66</v>
      </c>
      <c r="BN311" s="76" t="s">
        <v>7247</v>
      </c>
      <c r="BO311" s="83" t="str">
        <f>HYPERLINK("https://twitter.com/kucoinportugues")</f>
        <v>https://twitter.com/kucoinportugues</v>
      </c>
      <c r="BP311" s="2"/>
    </row>
    <row r="312" spans="1:68" x14ac:dyDescent="0.25">
      <c r="A312" s="62" t="s">
        <v>517</v>
      </c>
      <c r="B312" s="63"/>
      <c r="C312" s="63"/>
      <c r="D312" s="64"/>
      <c r="E312" s="66"/>
      <c r="F312" s="102" t="str">
        <f>HYPERLINK("https://pbs.twimg.com/profile_images/1632418521438117888/KHcf4e7k_normal.jpg")</f>
        <v>https://pbs.twimg.com/profile_images/1632418521438117888/KHcf4e7k_normal.jpg</v>
      </c>
      <c r="G312" s="63"/>
      <c r="H312" s="67"/>
      <c r="I312" s="68"/>
      <c r="J312" s="68"/>
      <c r="K312" s="67" t="s">
        <v>7556</v>
      </c>
      <c r="L312" s="71"/>
      <c r="M312" s="72"/>
      <c r="N312" s="72"/>
      <c r="O312" s="73"/>
      <c r="P312" s="74"/>
      <c r="Q312" s="74"/>
      <c r="R312" s="86"/>
      <c r="S312" s="86"/>
      <c r="T312" s="86"/>
      <c r="U312" s="86"/>
      <c r="V312" s="48"/>
      <c r="W312" s="48"/>
      <c r="X312" s="48"/>
      <c r="Y312" s="48"/>
      <c r="Z312" s="47"/>
      <c r="AA312" s="69">
        <v>312</v>
      </c>
      <c r="AB312" s="69"/>
      <c r="AC312" s="70"/>
      <c r="AD312" s="76" t="s">
        <v>6433</v>
      </c>
      <c r="AE312" s="81" t="s">
        <v>6541</v>
      </c>
      <c r="AF312" s="76">
        <v>549</v>
      </c>
      <c r="AG312" s="76">
        <v>237</v>
      </c>
      <c r="AH312" s="76">
        <v>17429</v>
      </c>
      <c r="AI312" s="76">
        <v>9</v>
      </c>
      <c r="AJ312" s="76">
        <v>2342</v>
      </c>
      <c r="AK312" s="76">
        <v>371</v>
      </c>
      <c r="AL312" s="76" t="b">
        <v>0</v>
      </c>
      <c r="AM312" s="78">
        <v>40489.767465277779</v>
      </c>
      <c r="AN312" s="76" t="s">
        <v>3763</v>
      </c>
      <c r="AO312" s="76" t="s">
        <v>6951</v>
      </c>
      <c r="AP312" s="83" t="str">
        <f>HYPERLINK("https://t.co/TcV7o0DLrX")</f>
        <v>https://t.co/TcV7o0DLrX</v>
      </c>
      <c r="AQ312" s="83" t="str">
        <f>HYPERLINK("http://ask.fm/Kahsensualizee")</f>
        <v>http://ask.fm/Kahsensualizee</v>
      </c>
      <c r="AR312" s="76" t="s">
        <v>7173</v>
      </c>
      <c r="AS312" s="76"/>
      <c r="AT312" s="76"/>
      <c r="AU312" s="76"/>
      <c r="AV312" s="76">
        <v>7.9323100107807104E+17</v>
      </c>
      <c r="AW312" s="83" t="str">
        <f>HYPERLINK("https://t.co/TcV7o0DLrX")</f>
        <v>https://t.co/TcV7o0DLrX</v>
      </c>
      <c r="AX312" s="76" t="b">
        <v>0</v>
      </c>
      <c r="AY312" s="76"/>
      <c r="AZ312" s="76"/>
      <c r="BA312" s="76" t="b">
        <v>1</v>
      </c>
      <c r="BB312" s="76" t="b">
        <v>1</v>
      </c>
      <c r="BC312" s="76" t="b">
        <v>0</v>
      </c>
      <c r="BD312" s="76" t="b">
        <v>0</v>
      </c>
      <c r="BE312" s="76" t="b">
        <v>1</v>
      </c>
      <c r="BF312" s="76" t="b">
        <v>0</v>
      </c>
      <c r="BG312" s="76" t="b">
        <v>0</v>
      </c>
      <c r="BH312" s="83" t="str">
        <f>HYPERLINK("https://pbs.twimg.com/profile_banners/213012326/1678033685")</f>
        <v>https://pbs.twimg.com/profile_banners/213012326/1678033685</v>
      </c>
      <c r="BI312" s="76"/>
      <c r="BJ312" s="76" t="s">
        <v>7245</v>
      </c>
      <c r="BK312" s="76" t="b">
        <v>0</v>
      </c>
      <c r="BL312" s="76"/>
      <c r="BM312" s="76" t="s">
        <v>66</v>
      </c>
      <c r="BN312" s="76" t="s">
        <v>7247</v>
      </c>
      <c r="BO312" s="83" t="str">
        <f>HYPERLINK("https://twitter.com/fs_karoliny")</f>
        <v>https://twitter.com/fs_karoliny</v>
      </c>
      <c r="BP312" s="2"/>
    </row>
    <row r="313" spans="1:68" x14ac:dyDescent="0.25">
      <c r="A313" s="62" t="s">
        <v>518</v>
      </c>
      <c r="B313" s="63"/>
      <c r="C313" s="63"/>
      <c r="D313" s="64"/>
      <c r="E313" s="66"/>
      <c r="F313" s="102" t="str">
        <f>HYPERLINK("https://pbs.twimg.com/profile_images/1136356761542152192/R-24Jx9v_normal.png")</f>
        <v>https://pbs.twimg.com/profile_images/1136356761542152192/R-24Jx9v_normal.png</v>
      </c>
      <c r="G313" s="63"/>
      <c r="H313" s="67"/>
      <c r="I313" s="68"/>
      <c r="J313" s="68"/>
      <c r="K313" s="67" t="s">
        <v>7557</v>
      </c>
      <c r="L313" s="71"/>
      <c r="M313" s="72"/>
      <c r="N313" s="72"/>
      <c r="O313" s="73"/>
      <c r="P313" s="74"/>
      <c r="Q313" s="74"/>
      <c r="R313" s="86"/>
      <c r="S313" s="86"/>
      <c r="T313" s="86"/>
      <c r="U313" s="86"/>
      <c r="V313" s="48"/>
      <c r="W313" s="48"/>
      <c r="X313" s="48"/>
      <c r="Y313" s="48"/>
      <c r="Z313" s="47"/>
      <c r="AA313" s="69">
        <v>313</v>
      </c>
      <c r="AB313" s="69"/>
      <c r="AC313" s="70"/>
      <c r="AD313" s="76" t="s">
        <v>6434</v>
      </c>
      <c r="AE313" s="81" t="s">
        <v>6542</v>
      </c>
      <c r="AF313" s="76">
        <v>1119</v>
      </c>
      <c r="AG313" s="76">
        <v>124</v>
      </c>
      <c r="AH313" s="76">
        <v>25468</v>
      </c>
      <c r="AI313" s="76">
        <v>7</v>
      </c>
      <c r="AJ313" s="76">
        <v>42</v>
      </c>
      <c r="AK313" s="76">
        <v>14507</v>
      </c>
      <c r="AL313" s="76" t="b">
        <v>0</v>
      </c>
      <c r="AM313" s="78">
        <v>41586.735312500001</v>
      </c>
      <c r="AN313" s="76" t="s">
        <v>6661</v>
      </c>
      <c r="AO313" s="76" t="s">
        <v>6952</v>
      </c>
      <c r="AP313" s="83" t="str">
        <f>HYPERLINK("https://t.co/0ydxVVxMop")</f>
        <v>https://t.co/0ydxVVxMop</v>
      </c>
      <c r="AQ313" s="83" t="str">
        <f>HYPERLINK("http://www.falabarreiras.com")</f>
        <v>http://www.falabarreiras.com</v>
      </c>
      <c r="AR313" s="76" t="s">
        <v>2170</v>
      </c>
      <c r="AS313" s="76"/>
      <c r="AT313" s="76"/>
      <c r="AU313" s="76"/>
      <c r="AV313" s="76"/>
      <c r="AW313" s="83" t="str">
        <f>HYPERLINK("https://t.co/0ydxVVxMop")</f>
        <v>https://t.co/0ydxVVxMop</v>
      </c>
      <c r="AX313" s="76" t="b">
        <v>0</v>
      </c>
      <c r="AY313" s="76"/>
      <c r="AZ313" s="76"/>
      <c r="BA313" s="76" t="b">
        <v>0</v>
      </c>
      <c r="BB313" s="76" t="b">
        <v>1</v>
      </c>
      <c r="BC313" s="76" t="b">
        <v>0</v>
      </c>
      <c r="BD313" s="76" t="b">
        <v>0</v>
      </c>
      <c r="BE313" s="76" t="b">
        <v>0</v>
      </c>
      <c r="BF313" s="76" t="b">
        <v>0</v>
      </c>
      <c r="BG313" s="76" t="b">
        <v>0</v>
      </c>
      <c r="BH313" s="83" t="str">
        <f>HYPERLINK("https://pbs.twimg.com/profile_banners/2182634120/1558369198")</f>
        <v>https://pbs.twimg.com/profile_banners/2182634120/1558369198</v>
      </c>
      <c r="BI313" s="76"/>
      <c r="BJ313" s="76" t="s">
        <v>7245</v>
      </c>
      <c r="BK313" s="76" t="b">
        <v>0</v>
      </c>
      <c r="BL313" s="76"/>
      <c r="BM313" s="76" t="s">
        <v>66</v>
      </c>
      <c r="BN313" s="76" t="s">
        <v>7247</v>
      </c>
      <c r="BO313" s="83" t="str">
        <f>HYPERLINK("https://twitter.com/falabarreiras")</f>
        <v>https://twitter.com/falabarreiras</v>
      </c>
      <c r="BP313" s="2"/>
    </row>
    <row r="314" spans="1:68" x14ac:dyDescent="0.25">
      <c r="A314" s="62" t="s">
        <v>519</v>
      </c>
      <c r="B314" s="63"/>
      <c r="C314" s="63"/>
      <c r="D314" s="64"/>
      <c r="E314" s="66"/>
      <c r="F314" s="102" t="str">
        <f>HYPERLINK("https://pbs.twimg.com/profile_images/1585025887275294723/4uVSxo8Y_normal.jpg")</f>
        <v>https://pbs.twimg.com/profile_images/1585025887275294723/4uVSxo8Y_normal.jpg</v>
      </c>
      <c r="G314" s="63"/>
      <c r="H314" s="67"/>
      <c r="I314" s="68"/>
      <c r="J314" s="68"/>
      <c r="K314" s="67" t="s">
        <v>7558</v>
      </c>
      <c r="L314" s="71"/>
      <c r="M314" s="72"/>
      <c r="N314" s="72"/>
      <c r="O314" s="73"/>
      <c r="P314" s="74"/>
      <c r="Q314" s="74"/>
      <c r="R314" s="86"/>
      <c r="S314" s="86"/>
      <c r="T314" s="86"/>
      <c r="U314" s="86"/>
      <c r="V314" s="48"/>
      <c r="W314" s="48"/>
      <c r="X314" s="48"/>
      <c r="Y314" s="48"/>
      <c r="Z314" s="47"/>
      <c r="AA314" s="69">
        <v>314</v>
      </c>
      <c r="AB314" s="69"/>
      <c r="AC314" s="70"/>
      <c r="AD314" s="76" t="s">
        <v>6435</v>
      </c>
      <c r="AE314" s="81" t="s">
        <v>6543</v>
      </c>
      <c r="AF314" s="76">
        <v>651</v>
      </c>
      <c r="AG314" s="76">
        <v>8</v>
      </c>
      <c r="AH314" s="76">
        <v>862</v>
      </c>
      <c r="AI314" s="76">
        <v>11</v>
      </c>
      <c r="AJ314" s="76">
        <v>34</v>
      </c>
      <c r="AK314" s="76">
        <v>294</v>
      </c>
      <c r="AL314" s="76" t="b">
        <v>0</v>
      </c>
      <c r="AM314" s="78">
        <v>40238.834988425922</v>
      </c>
      <c r="AN314" s="76"/>
      <c r="AO314" s="76" t="s">
        <v>6953</v>
      </c>
      <c r="AP314" s="83" t="str">
        <f>HYPERLINK("https://t.co/Di39hdFADm")</f>
        <v>https://t.co/Di39hdFADm</v>
      </c>
      <c r="AQ314" s="83" t="str">
        <f>HYPERLINK("https://linktr.ee/julionafe")</f>
        <v>https://linktr.ee/julionafe</v>
      </c>
      <c r="AR314" s="76" t="s">
        <v>7174</v>
      </c>
      <c r="AS314" s="76"/>
      <c r="AT314" s="76"/>
      <c r="AU314" s="76"/>
      <c r="AV314" s="76"/>
      <c r="AW314" s="83" t="str">
        <f>HYPERLINK("https://t.co/Di39hdFADm")</f>
        <v>https://t.co/Di39hdFADm</v>
      </c>
      <c r="AX314" s="76" t="b">
        <v>0</v>
      </c>
      <c r="AY314" s="76"/>
      <c r="AZ314" s="76"/>
      <c r="BA314" s="76" t="b">
        <v>0</v>
      </c>
      <c r="BB314" s="76" t="b">
        <v>1</v>
      </c>
      <c r="BC314" s="76" t="b">
        <v>0</v>
      </c>
      <c r="BD314" s="76" t="b">
        <v>0</v>
      </c>
      <c r="BE314" s="76" t="b">
        <v>0</v>
      </c>
      <c r="BF314" s="76" t="b">
        <v>0</v>
      </c>
      <c r="BG314" s="76" t="b">
        <v>0</v>
      </c>
      <c r="BH314" s="83" t="str">
        <f>HYPERLINK("https://pbs.twimg.com/profile_banners/118802812/1676213983")</f>
        <v>https://pbs.twimg.com/profile_banners/118802812/1676213983</v>
      </c>
      <c r="BI314" s="76"/>
      <c r="BJ314" s="76" t="s">
        <v>7245</v>
      </c>
      <c r="BK314" s="76" t="b">
        <v>0</v>
      </c>
      <c r="BL314" s="76"/>
      <c r="BM314" s="76" t="s">
        <v>66</v>
      </c>
      <c r="BN314" s="76" t="s">
        <v>7247</v>
      </c>
      <c r="BO314" s="83" t="str">
        <f>HYPERLINK("https://twitter.com/julionafe")</f>
        <v>https://twitter.com/julionafe</v>
      </c>
      <c r="BP314" s="2"/>
    </row>
    <row r="315" spans="1:68" x14ac:dyDescent="0.25">
      <c r="A315" s="62" t="s">
        <v>521</v>
      </c>
      <c r="B315" s="63"/>
      <c r="C315" s="63"/>
      <c r="D315" s="64"/>
      <c r="E315" s="66"/>
      <c r="F315" s="102" t="str">
        <f>HYPERLINK("https://pbs.twimg.com/profile_images/1528113052566134784/SHBb5X_-_normal.jpg")</f>
        <v>https://pbs.twimg.com/profile_images/1528113052566134784/SHBb5X_-_normal.jpg</v>
      </c>
      <c r="G315" s="63"/>
      <c r="H315" s="67"/>
      <c r="I315" s="68"/>
      <c r="J315" s="68"/>
      <c r="K315" s="67" t="s">
        <v>7559</v>
      </c>
      <c r="L315" s="71"/>
      <c r="M315" s="72"/>
      <c r="N315" s="72"/>
      <c r="O315" s="73"/>
      <c r="P315" s="74"/>
      <c r="Q315" s="74"/>
      <c r="R315" s="86"/>
      <c r="S315" s="86"/>
      <c r="T315" s="86"/>
      <c r="U315" s="86"/>
      <c r="V315" s="48"/>
      <c r="W315" s="48"/>
      <c r="X315" s="48"/>
      <c r="Y315" s="48"/>
      <c r="Z315" s="47"/>
      <c r="AA315" s="69">
        <v>315</v>
      </c>
      <c r="AB315" s="69"/>
      <c r="AC315" s="70"/>
      <c r="AD315" s="76" t="s">
        <v>6436</v>
      </c>
      <c r="AE315" s="81" t="s">
        <v>5609</v>
      </c>
      <c r="AF315" s="76">
        <v>8779</v>
      </c>
      <c r="AG315" s="76">
        <v>5663</v>
      </c>
      <c r="AH315" s="76">
        <v>27925</v>
      </c>
      <c r="AI315" s="76">
        <v>33</v>
      </c>
      <c r="AJ315" s="76">
        <v>26288</v>
      </c>
      <c r="AK315" s="76">
        <v>3415</v>
      </c>
      <c r="AL315" s="76" t="b">
        <v>0</v>
      </c>
      <c r="AM315" s="78">
        <v>44658.756562499999</v>
      </c>
      <c r="AN315" s="76" t="s">
        <v>6662</v>
      </c>
      <c r="AO315" s="76" t="s">
        <v>6954</v>
      </c>
      <c r="AP315" s="83" t="str">
        <f>HYPERLINK("https://t.co/X5n7P7xupi")</f>
        <v>https://t.co/X5n7P7xupi</v>
      </c>
      <c r="AQ315" s="83" t="str">
        <f>HYPERLINK("http://dcg.co")</f>
        <v>http://dcg.co</v>
      </c>
      <c r="AR315" s="76" t="s">
        <v>7175</v>
      </c>
      <c r="AS315" s="76"/>
      <c r="AT315" s="76"/>
      <c r="AU315" s="76"/>
      <c r="AV315" s="76">
        <v>1.6481410324400901E+18</v>
      </c>
      <c r="AW315" s="83" t="str">
        <f>HYPERLINK("https://t.co/X5n7P7xupi")</f>
        <v>https://t.co/X5n7P7xupi</v>
      </c>
      <c r="AX315" s="76" t="b">
        <v>1</v>
      </c>
      <c r="AY315" s="76"/>
      <c r="AZ315" s="76"/>
      <c r="BA315" s="76" t="b">
        <v>0</v>
      </c>
      <c r="BB315" s="76" t="b">
        <v>1</v>
      </c>
      <c r="BC315" s="76" t="b">
        <v>1</v>
      </c>
      <c r="BD315" s="76" t="b">
        <v>0</v>
      </c>
      <c r="BE315" s="76" t="b">
        <v>1</v>
      </c>
      <c r="BF315" s="76" t="b">
        <v>0</v>
      </c>
      <c r="BG315" s="76" t="b">
        <v>0</v>
      </c>
      <c r="BH315" s="83" t="str">
        <f>HYPERLINK("https://pbs.twimg.com/profile_banners/1512130441700065284/1667223711")</f>
        <v>https://pbs.twimg.com/profile_banners/1512130441700065284/1667223711</v>
      </c>
      <c r="BI315" s="76"/>
      <c r="BJ315" s="76" t="s">
        <v>7245</v>
      </c>
      <c r="BK315" s="76" t="b">
        <v>0</v>
      </c>
      <c r="BL315" s="76"/>
      <c r="BM315" s="76" t="s">
        <v>66</v>
      </c>
      <c r="BN315" s="76" t="s">
        <v>7247</v>
      </c>
      <c r="BO315" s="83" t="str">
        <f>HYPERLINK("https://twitter.com/elevamiami")</f>
        <v>https://twitter.com/elevamiami</v>
      </c>
      <c r="BP315" s="2"/>
    </row>
    <row r="316" spans="1:68" x14ac:dyDescent="0.25">
      <c r="A316" s="62" t="s">
        <v>522</v>
      </c>
      <c r="B316" s="63"/>
      <c r="C316" s="63"/>
      <c r="D316" s="64"/>
      <c r="E316" s="66"/>
      <c r="F316" s="102" t="str">
        <f>HYPERLINK("https://pbs.twimg.com/profile_images/1638789856712089600/qH1TlC4u_normal.jpg")</f>
        <v>https://pbs.twimg.com/profile_images/1638789856712089600/qH1TlC4u_normal.jpg</v>
      </c>
      <c r="G316" s="63"/>
      <c r="H316" s="67"/>
      <c r="I316" s="68"/>
      <c r="J316" s="68"/>
      <c r="K316" s="67" t="s">
        <v>7560</v>
      </c>
      <c r="L316" s="71"/>
      <c r="M316" s="72"/>
      <c r="N316" s="72"/>
      <c r="O316" s="73"/>
      <c r="P316" s="74"/>
      <c r="Q316" s="74"/>
      <c r="R316" s="86"/>
      <c r="S316" s="86"/>
      <c r="T316" s="86"/>
      <c r="U316" s="86"/>
      <c r="V316" s="48"/>
      <c r="W316" s="48"/>
      <c r="X316" s="48"/>
      <c r="Y316" s="48"/>
      <c r="Z316" s="47"/>
      <c r="AA316" s="69">
        <v>316</v>
      </c>
      <c r="AB316" s="69"/>
      <c r="AC316" s="70"/>
      <c r="AD316" s="76" t="s">
        <v>6437</v>
      </c>
      <c r="AE316" s="81" t="s">
        <v>6068</v>
      </c>
      <c r="AF316" s="76">
        <v>1</v>
      </c>
      <c r="AG316" s="76">
        <v>8</v>
      </c>
      <c r="AH316" s="76">
        <v>10</v>
      </c>
      <c r="AI316" s="76">
        <v>0</v>
      </c>
      <c r="AJ316" s="76">
        <v>0</v>
      </c>
      <c r="AK316" s="76">
        <v>2</v>
      </c>
      <c r="AL316" s="76" t="b">
        <v>0</v>
      </c>
      <c r="AM316" s="78">
        <v>45008.269444444442</v>
      </c>
      <c r="AN316" s="76"/>
      <c r="AO316" s="76" t="s">
        <v>6955</v>
      </c>
      <c r="AP316" s="76"/>
      <c r="AQ316" s="76"/>
      <c r="AR316" s="76"/>
      <c r="AS316" s="76"/>
      <c r="AT316" s="76"/>
      <c r="AU316" s="76"/>
      <c r="AV316" s="76"/>
      <c r="AW316" s="76"/>
      <c r="AX316" s="76" t="b">
        <v>0</v>
      </c>
      <c r="AY316" s="76"/>
      <c r="AZ316" s="76"/>
      <c r="BA316" s="76" t="b">
        <v>0</v>
      </c>
      <c r="BB316" s="76" t="b">
        <v>1</v>
      </c>
      <c r="BC316" s="76" t="b">
        <v>1</v>
      </c>
      <c r="BD316" s="76" t="b">
        <v>0</v>
      </c>
      <c r="BE316" s="76" t="b">
        <v>0</v>
      </c>
      <c r="BF316" s="76" t="b">
        <v>0</v>
      </c>
      <c r="BG316" s="76" t="b">
        <v>0</v>
      </c>
      <c r="BH316" s="83" t="str">
        <f>HYPERLINK("https://pbs.twimg.com/profile_banners/1638789614298095616/1679553732")</f>
        <v>https://pbs.twimg.com/profile_banners/1638789614298095616/1679553732</v>
      </c>
      <c r="BI316" s="76"/>
      <c r="BJ316" s="76" t="s">
        <v>7245</v>
      </c>
      <c r="BK316" s="76" t="b">
        <v>0</v>
      </c>
      <c r="BL316" s="76"/>
      <c r="BM316" s="76" t="s">
        <v>66</v>
      </c>
      <c r="BN316" s="76" t="s">
        <v>7247</v>
      </c>
      <c r="BO316" s="83" t="str">
        <f>HYPERLINK("https://twitter.com/marcontainer")</f>
        <v>https://twitter.com/marcontainer</v>
      </c>
      <c r="BP316" s="2"/>
    </row>
    <row r="317" spans="1:68" x14ac:dyDescent="0.25">
      <c r="A317" s="62" t="s">
        <v>523</v>
      </c>
      <c r="B317" s="63"/>
      <c r="C317" s="63"/>
      <c r="D317" s="64"/>
      <c r="E317" s="66"/>
      <c r="F317" s="102" t="str">
        <f>HYPERLINK("https://pbs.twimg.com/profile_images/1698656581921980416/V_itaCxJ_normal.jpg")</f>
        <v>https://pbs.twimg.com/profile_images/1698656581921980416/V_itaCxJ_normal.jpg</v>
      </c>
      <c r="G317" s="63"/>
      <c r="H317" s="67"/>
      <c r="I317" s="68"/>
      <c r="J317" s="68"/>
      <c r="K317" s="67" t="s">
        <v>7561</v>
      </c>
      <c r="L317" s="71"/>
      <c r="M317" s="72"/>
      <c r="N317" s="72"/>
      <c r="O317" s="73"/>
      <c r="P317" s="74"/>
      <c r="Q317" s="74"/>
      <c r="R317" s="86"/>
      <c r="S317" s="86"/>
      <c r="T317" s="86"/>
      <c r="U317" s="86"/>
      <c r="V317" s="48"/>
      <c r="W317" s="48"/>
      <c r="X317" s="48"/>
      <c r="Y317" s="48"/>
      <c r="Z317" s="47"/>
      <c r="AA317" s="69">
        <v>317</v>
      </c>
      <c r="AB317" s="69"/>
      <c r="AC317" s="70"/>
      <c r="AD317" s="76" t="s">
        <v>6438</v>
      </c>
      <c r="AE317" s="81" t="s">
        <v>6069</v>
      </c>
      <c r="AF317" s="76">
        <v>0</v>
      </c>
      <c r="AG317" s="76">
        <v>1</v>
      </c>
      <c r="AH317" s="76">
        <v>1</v>
      </c>
      <c r="AI317" s="76">
        <v>0</v>
      </c>
      <c r="AJ317" s="76">
        <v>0</v>
      </c>
      <c r="AK317" s="76">
        <v>1</v>
      </c>
      <c r="AL317" s="76" t="b">
        <v>0</v>
      </c>
      <c r="AM317" s="78">
        <v>45173.469224537039</v>
      </c>
      <c r="AN317" s="76"/>
      <c r="AO317" s="76" t="s">
        <v>6956</v>
      </c>
      <c r="AP317" s="76"/>
      <c r="AQ317" s="76"/>
      <c r="AR317" s="76"/>
      <c r="AS317" s="76"/>
      <c r="AT317" s="76"/>
      <c r="AU317" s="76"/>
      <c r="AV317" s="76"/>
      <c r="AW317" s="76"/>
      <c r="AX317" s="76" t="b">
        <v>0</v>
      </c>
      <c r="AY317" s="76"/>
      <c r="AZ317" s="76"/>
      <c r="BA317" s="76" t="b">
        <v>0</v>
      </c>
      <c r="BB317" s="76" t="b">
        <v>1</v>
      </c>
      <c r="BC317" s="76" t="b">
        <v>1</v>
      </c>
      <c r="BD317" s="76" t="b">
        <v>0</v>
      </c>
      <c r="BE317" s="76" t="b">
        <v>0</v>
      </c>
      <c r="BF317" s="76" t="b">
        <v>0</v>
      </c>
      <c r="BG317" s="76" t="b">
        <v>0</v>
      </c>
      <c r="BH317" s="83" t="str">
        <f>HYPERLINK("https://pbs.twimg.com/profile_banners/1698655884031746048/1693826473")</f>
        <v>https://pbs.twimg.com/profile_banners/1698655884031746048/1693826473</v>
      </c>
      <c r="BI317" s="76"/>
      <c r="BJ317" s="76" t="s">
        <v>7245</v>
      </c>
      <c r="BK317" s="76" t="b">
        <v>0</v>
      </c>
      <c r="BL317" s="76"/>
      <c r="BM317" s="76" t="s">
        <v>66</v>
      </c>
      <c r="BN317" s="76" t="s">
        <v>7247</v>
      </c>
      <c r="BO317" s="83" t="str">
        <f>HYPERLINK("https://twitter.com/onegotk")</f>
        <v>https://twitter.com/onegotk</v>
      </c>
      <c r="BP317" s="2"/>
    </row>
    <row r="318" spans="1:68" x14ac:dyDescent="0.25">
      <c r="A318" s="62" t="s">
        <v>524</v>
      </c>
      <c r="B318" s="63"/>
      <c r="C318" s="63"/>
      <c r="D318" s="64"/>
      <c r="E318" s="66"/>
      <c r="F318" s="102" t="str">
        <f>HYPERLINK("https://pbs.twimg.com/profile_images/1629520900746887174/GiJMlXTz_normal.jpg")</f>
        <v>https://pbs.twimg.com/profile_images/1629520900746887174/GiJMlXTz_normal.jpg</v>
      </c>
      <c r="G318" s="63"/>
      <c r="H318" s="67"/>
      <c r="I318" s="68"/>
      <c r="J318" s="68"/>
      <c r="K318" s="67" t="s">
        <v>7562</v>
      </c>
      <c r="L318" s="71"/>
      <c r="M318" s="72"/>
      <c r="N318" s="72"/>
      <c r="O318" s="73"/>
      <c r="P318" s="74"/>
      <c r="Q318" s="74"/>
      <c r="R318" s="86"/>
      <c r="S318" s="86"/>
      <c r="T318" s="86"/>
      <c r="U318" s="86"/>
      <c r="V318" s="48"/>
      <c r="W318" s="48"/>
      <c r="X318" s="48"/>
      <c r="Y318" s="48"/>
      <c r="Z318" s="47"/>
      <c r="AA318" s="69">
        <v>318</v>
      </c>
      <c r="AB318" s="69"/>
      <c r="AC318" s="70"/>
      <c r="AD318" s="76" t="s">
        <v>6439</v>
      </c>
      <c r="AE318" s="81" t="s">
        <v>6070</v>
      </c>
      <c r="AF318" s="76">
        <v>4</v>
      </c>
      <c r="AG318" s="76">
        <v>1</v>
      </c>
      <c r="AH318" s="76">
        <v>54</v>
      </c>
      <c r="AI318" s="76">
        <v>0</v>
      </c>
      <c r="AJ318" s="76">
        <v>5</v>
      </c>
      <c r="AK318" s="76">
        <v>54</v>
      </c>
      <c r="AL318" s="76" t="b">
        <v>0</v>
      </c>
      <c r="AM318" s="78">
        <v>44982.692326388889</v>
      </c>
      <c r="AN318" s="76"/>
      <c r="AO318" s="76" t="s">
        <v>6957</v>
      </c>
      <c r="AP318" s="83" t="str">
        <f>HYPERLINK("https://t.co/CFLfW1SVLZ")</f>
        <v>https://t.co/CFLfW1SVLZ</v>
      </c>
      <c r="AQ318" s="83" t="str">
        <f>HYPERLINK("https://linktr.ee/descomplicaft")</f>
        <v>https://linktr.ee/descomplicaft</v>
      </c>
      <c r="AR318" s="76" t="s">
        <v>7176</v>
      </c>
      <c r="AS318" s="76"/>
      <c r="AT318" s="76"/>
      <c r="AU318" s="76"/>
      <c r="AV318" s="76"/>
      <c r="AW318" s="83" t="str">
        <f>HYPERLINK("https://t.co/CFLfW1SVLZ")</f>
        <v>https://t.co/CFLfW1SVLZ</v>
      </c>
      <c r="AX318" s="76" t="b">
        <v>0</v>
      </c>
      <c r="AY318" s="76"/>
      <c r="AZ318" s="76"/>
      <c r="BA318" s="76" t="b">
        <v>0</v>
      </c>
      <c r="BB318" s="76" t="b">
        <v>1</v>
      </c>
      <c r="BC318" s="76" t="b">
        <v>1</v>
      </c>
      <c r="BD318" s="76" t="b">
        <v>0</v>
      </c>
      <c r="BE318" s="76" t="b">
        <v>0</v>
      </c>
      <c r="BF318" s="76" t="b">
        <v>0</v>
      </c>
      <c r="BG318" s="76" t="b">
        <v>0</v>
      </c>
      <c r="BH318" s="83" t="str">
        <f>HYPERLINK("https://pbs.twimg.com/profile_banners/1629520801710874625/1677343580")</f>
        <v>https://pbs.twimg.com/profile_banners/1629520801710874625/1677343580</v>
      </c>
      <c r="BI318" s="76"/>
      <c r="BJ318" s="76" t="s">
        <v>7245</v>
      </c>
      <c r="BK318" s="76" t="b">
        <v>0</v>
      </c>
      <c r="BL318" s="76"/>
      <c r="BM318" s="76" t="s">
        <v>66</v>
      </c>
      <c r="BN318" s="76" t="s">
        <v>7247</v>
      </c>
      <c r="BO318" s="83" t="str">
        <f>HYPERLINK("https://twitter.com/descomplicaft")</f>
        <v>https://twitter.com/descomplicaft</v>
      </c>
      <c r="BP318" s="2"/>
    </row>
    <row r="319" spans="1:68" x14ac:dyDescent="0.25">
      <c r="A319" s="62" t="s">
        <v>525</v>
      </c>
      <c r="B319" s="63"/>
      <c r="C319" s="63"/>
      <c r="D319" s="64"/>
      <c r="E319" s="66"/>
      <c r="F319" s="102" t="str">
        <f>HYPERLINK("https://pbs.twimg.com/profile_images/1288565039629246468/FpQ5WkT9_normal.jpg")</f>
        <v>https://pbs.twimg.com/profile_images/1288565039629246468/FpQ5WkT9_normal.jpg</v>
      </c>
      <c r="G319" s="63"/>
      <c r="H319" s="67"/>
      <c r="I319" s="68"/>
      <c r="J319" s="68"/>
      <c r="K319" s="67" t="s">
        <v>7563</v>
      </c>
      <c r="L319" s="71"/>
      <c r="M319" s="72"/>
      <c r="N319" s="72"/>
      <c r="O319" s="73"/>
      <c r="P319" s="74"/>
      <c r="Q319" s="74"/>
      <c r="R319" s="86"/>
      <c r="S319" s="86"/>
      <c r="T319" s="86"/>
      <c r="U319" s="86"/>
      <c r="V319" s="48"/>
      <c r="W319" s="48"/>
      <c r="X319" s="48"/>
      <c r="Y319" s="48"/>
      <c r="Z319" s="47"/>
      <c r="AA319" s="69">
        <v>319</v>
      </c>
      <c r="AB319" s="69"/>
      <c r="AC319" s="70"/>
      <c r="AD319" s="76" t="s">
        <v>6440</v>
      </c>
      <c r="AE319" s="81" t="s">
        <v>6071</v>
      </c>
      <c r="AF319" s="76">
        <v>1</v>
      </c>
      <c r="AG319" s="76">
        <v>8</v>
      </c>
      <c r="AH319" s="76">
        <v>177</v>
      </c>
      <c r="AI319" s="76">
        <v>0</v>
      </c>
      <c r="AJ319" s="76">
        <v>0</v>
      </c>
      <c r="AK319" s="76">
        <v>16</v>
      </c>
      <c r="AL319" s="76" t="b">
        <v>0</v>
      </c>
      <c r="AM319" s="78">
        <v>44041.83321759259</v>
      </c>
      <c r="AN319" s="76"/>
      <c r="AO319" s="76" t="s">
        <v>6958</v>
      </c>
      <c r="AP319" s="83" t="str">
        <f>HYPERLINK("https://t.co/utppMS27oI")</f>
        <v>https://t.co/utppMS27oI</v>
      </c>
      <c r="AQ319" s="83" t="str">
        <f>HYPERLINK("https://linktr.ee/enriquecendo_com_acoes")</f>
        <v>https://linktr.ee/enriquecendo_com_acoes</v>
      </c>
      <c r="AR319" s="76" t="s">
        <v>7177</v>
      </c>
      <c r="AS319" s="76"/>
      <c r="AT319" s="76"/>
      <c r="AU319" s="76"/>
      <c r="AV319" s="76"/>
      <c r="AW319" s="83" t="str">
        <f>HYPERLINK("https://t.co/utppMS27oI")</f>
        <v>https://t.co/utppMS27oI</v>
      </c>
      <c r="AX319" s="76" t="b">
        <v>0</v>
      </c>
      <c r="AY319" s="76"/>
      <c r="AZ319" s="76"/>
      <c r="BA319" s="76" t="b">
        <v>0</v>
      </c>
      <c r="BB319" s="76" t="b">
        <v>1</v>
      </c>
      <c r="BC319" s="76" t="b">
        <v>1</v>
      </c>
      <c r="BD319" s="76" t="b">
        <v>0</v>
      </c>
      <c r="BE319" s="76" t="b">
        <v>0</v>
      </c>
      <c r="BF319" s="76" t="b">
        <v>0</v>
      </c>
      <c r="BG319" s="76" t="b">
        <v>0</v>
      </c>
      <c r="BH319" s="83" t="str">
        <f>HYPERLINK("https://pbs.twimg.com/profile_banners/1288564823182147584/1596052831")</f>
        <v>https://pbs.twimg.com/profile_banners/1288564823182147584/1596052831</v>
      </c>
      <c r="BI319" s="76"/>
      <c r="BJ319" s="76" t="s">
        <v>7245</v>
      </c>
      <c r="BK319" s="76" t="b">
        <v>0</v>
      </c>
      <c r="BL319" s="76"/>
      <c r="BM319" s="76" t="s">
        <v>66</v>
      </c>
      <c r="BN319" s="76" t="s">
        <v>7247</v>
      </c>
      <c r="BO319" s="83" t="str">
        <f>HYPERLINK("https://twitter.com/eacoes")</f>
        <v>https://twitter.com/eacoes</v>
      </c>
      <c r="BP319" s="2"/>
    </row>
    <row r="320" spans="1:68" x14ac:dyDescent="0.25">
      <c r="A320" s="62" t="s">
        <v>526</v>
      </c>
      <c r="B320" s="63"/>
      <c r="C320" s="63"/>
      <c r="D320" s="64"/>
      <c r="E320" s="66"/>
      <c r="F320" s="102" t="str">
        <f>HYPERLINK("https://pbs.twimg.com/profile_images/1504709210180837400/okKkFMhc_normal.jpg")</f>
        <v>https://pbs.twimg.com/profile_images/1504709210180837400/okKkFMhc_normal.jpg</v>
      </c>
      <c r="G320" s="63"/>
      <c r="H320" s="67"/>
      <c r="I320" s="68"/>
      <c r="J320" s="68"/>
      <c r="K320" s="67" t="s">
        <v>7564</v>
      </c>
      <c r="L320" s="71"/>
      <c r="M320" s="72"/>
      <c r="N320" s="72"/>
      <c r="O320" s="73"/>
      <c r="P320" s="74"/>
      <c r="Q320" s="74"/>
      <c r="R320" s="86"/>
      <c r="S320" s="86"/>
      <c r="T320" s="86"/>
      <c r="U320" s="86"/>
      <c r="V320" s="48"/>
      <c r="W320" s="48"/>
      <c r="X320" s="48"/>
      <c r="Y320" s="48"/>
      <c r="Z320" s="47"/>
      <c r="AA320" s="69">
        <v>320</v>
      </c>
      <c r="AB320" s="69"/>
      <c r="AC320" s="70"/>
      <c r="AD320" s="76" t="s">
        <v>6441</v>
      </c>
      <c r="AE320" s="81" t="s">
        <v>6544</v>
      </c>
      <c r="AF320" s="76">
        <v>21096</v>
      </c>
      <c r="AG320" s="76">
        <v>68</v>
      </c>
      <c r="AH320" s="76">
        <v>19957</v>
      </c>
      <c r="AI320" s="76">
        <v>5</v>
      </c>
      <c r="AJ320" s="76">
        <v>343</v>
      </c>
      <c r="AK320" s="76">
        <v>18584</v>
      </c>
      <c r="AL320" s="76" t="b">
        <v>0</v>
      </c>
      <c r="AM320" s="78">
        <v>40856.603136574071</v>
      </c>
      <c r="AN320" s="76" t="s">
        <v>3752</v>
      </c>
      <c r="AO320" s="76" t="s">
        <v>6959</v>
      </c>
      <c r="AP320" s="83" t="str">
        <f>HYPERLINK("https://t.co/eI2hASPczh")</f>
        <v>https://t.co/eI2hASPczh</v>
      </c>
      <c r="AQ320" s="83" t="str">
        <f>HYPERLINK("https://www.linkedin.com/in/dan-mendes-br")</f>
        <v>https://www.linkedin.com/in/dan-mendes-br</v>
      </c>
      <c r="AR320" s="76" t="s">
        <v>7178</v>
      </c>
      <c r="AS320" s="76"/>
      <c r="AT320" s="76"/>
      <c r="AU320" s="76"/>
      <c r="AV320" s="76">
        <v>1.3475929281814899E+18</v>
      </c>
      <c r="AW320" s="83" t="str">
        <f>HYPERLINK("https://t.co/eI2hASPczh")</f>
        <v>https://t.co/eI2hASPczh</v>
      </c>
      <c r="AX320" s="76" t="b">
        <v>0</v>
      </c>
      <c r="AY320" s="76"/>
      <c r="AZ320" s="76"/>
      <c r="BA320" s="76" t="b">
        <v>0</v>
      </c>
      <c r="BB320" s="76" t="b">
        <v>1</v>
      </c>
      <c r="BC320" s="76" t="b">
        <v>0</v>
      </c>
      <c r="BD320" s="76" t="b">
        <v>0</v>
      </c>
      <c r="BE320" s="76" t="b">
        <v>1</v>
      </c>
      <c r="BF320" s="76" t="b">
        <v>0</v>
      </c>
      <c r="BG320" s="76" t="b">
        <v>0</v>
      </c>
      <c r="BH320" s="83" t="str">
        <f>HYPERLINK("https://pbs.twimg.com/profile_banners/408509697/1647585695")</f>
        <v>https://pbs.twimg.com/profile_banners/408509697/1647585695</v>
      </c>
      <c r="BI320" s="76"/>
      <c r="BJ320" s="76" t="s">
        <v>7245</v>
      </c>
      <c r="BK320" s="76" t="b">
        <v>0</v>
      </c>
      <c r="BL320" s="76"/>
      <c r="BM320" s="76" t="s">
        <v>66</v>
      </c>
      <c r="BN320" s="76" t="s">
        <v>7247</v>
      </c>
      <c r="BO320" s="83" t="str">
        <f>HYPERLINK("https://twitter.com/apenasdanmendes")</f>
        <v>https://twitter.com/apenasdanmendes</v>
      </c>
      <c r="BP320" s="2"/>
    </row>
    <row r="321" spans="1:68" x14ac:dyDescent="0.25">
      <c r="A321" s="62" t="s">
        <v>527</v>
      </c>
      <c r="B321" s="63"/>
      <c r="C321" s="63"/>
      <c r="D321" s="64"/>
      <c r="E321" s="66"/>
      <c r="F321" s="102" t="str">
        <f>HYPERLINK("https://pbs.twimg.com/profile_images/1505149618400681988/_a3_-WCc_normal.jpg")</f>
        <v>https://pbs.twimg.com/profile_images/1505149618400681988/_a3_-WCc_normal.jpg</v>
      </c>
      <c r="G321" s="63"/>
      <c r="H321" s="67"/>
      <c r="I321" s="68"/>
      <c r="J321" s="68"/>
      <c r="K321" s="67" t="s">
        <v>7565</v>
      </c>
      <c r="L321" s="71"/>
      <c r="M321" s="72"/>
      <c r="N321" s="72"/>
      <c r="O321" s="73"/>
      <c r="P321" s="74"/>
      <c r="Q321" s="74"/>
      <c r="R321" s="86"/>
      <c r="S321" s="86"/>
      <c r="T321" s="86"/>
      <c r="U321" s="86"/>
      <c r="V321" s="48"/>
      <c r="W321" s="48"/>
      <c r="X321" s="48"/>
      <c r="Y321" s="48"/>
      <c r="Z321" s="47"/>
      <c r="AA321" s="69">
        <v>321</v>
      </c>
      <c r="AB321" s="69"/>
      <c r="AC321" s="70"/>
      <c r="AD321" s="76" t="s">
        <v>6442</v>
      </c>
      <c r="AE321" s="81" t="s">
        <v>6545</v>
      </c>
      <c r="AF321" s="76">
        <v>5730</v>
      </c>
      <c r="AG321" s="76">
        <v>557</v>
      </c>
      <c r="AH321" s="76">
        <v>4182</v>
      </c>
      <c r="AI321" s="76">
        <v>105</v>
      </c>
      <c r="AJ321" s="76">
        <v>29</v>
      </c>
      <c r="AK321" s="76">
        <v>792</v>
      </c>
      <c r="AL321" s="76" t="b">
        <v>0</v>
      </c>
      <c r="AM321" s="78">
        <v>39903.662662037037</v>
      </c>
      <c r="AN321" s="76" t="s">
        <v>3797</v>
      </c>
      <c r="AO321" s="76" t="s">
        <v>6960</v>
      </c>
      <c r="AP321" s="83" t="str">
        <f>HYPERLINK("https://t.co/k73iQdQeKS")</f>
        <v>https://t.co/k73iQdQeKS</v>
      </c>
      <c r="AQ321" s="83" t="str">
        <f>HYPERLINK("https://www.fernando-augusto.com")</f>
        <v>https://www.fernando-augusto.com</v>
      </c>
      <c r="AR321" s="76" t="s">
        <v>7179</v>
      </c>
      <c r="AS321" s="76"/>
      <c r="AT321" s="76"/>
      <c r="AU321" s="76"/>
      <c r="AV321" s="76">
        <v>1.5600520775603E+18</v>
      </c>
      <c r="AW321" s="83" t="str">
        <f>HYPERLINK("https://t.co/k73iQdQeKS")</f>
        <v>https://t.co/k73iQdQeKS</v>
      </c>
      <c r="AX321" s="76" t="b">
        <v>1</v>
      </c>
      <c r="AY321" s="76"/>
      <c r="AZ321" s="76"/>
      <c r="BA321" s="76" t="b">
        <v>0</v>
      </c>
      <c r="BB321" s="76" t="b">
        <v>1</v>
      </c>
      <c r="BC321" s="76" t="b">
        <v>0</v>
      </c>
      <c r="BD321" s="76" t="b">
        <v>0</v>
      </c>
      <c r="BE321" s="76" t="b">
        <v>0</v>
      </c>
      <c r="BF321" s="76" t="b">
        <v>0</v>
      </c>
      <c r="BG321" s="76" t="b">
        <v>0</v>
      </c>
      <c r="BH321" s="83" t="str">
        <f>HYPERLINK("https://pbs.twimg.com/profile_banners/27897816/1501548149")</f>
        <v>https://pbs.twimg.com/profile_banners/27897816/1501548149</v>
      </c>
      <c r="BI321" s="76"/>
      <c r="BJ321" s="76" t="s">
        <v>7245</v>
      </c>
      <c r="BK321" s="76" t="b">
        <v>0</v>
      </c>
      <c r="BL321" s="76"/>
      <c r="BM321" s="76" t="s">
        <v>66</v>
      </c>
      <c r="BN321" s="76" t="s">
        <v>7247</v>
      </c>
      <c r="BO321" s="83" t="str">
        <f>HYPERLINK("https://twitter.com/seumentor")</f>
        <v>https://twitter.com/seumentor</v>
      </c>
      <c r="BP321" s="2"/>
    </row>
    <row r="322" spans="1:68" x14ac:dyDescent="0.25">
      <c r="A322" s="62" t="s">
        <v>528</v>
      </c>
      <c r="B322" s="63"/>
      <c r="C322" s="63"/>
      <c r="D322" s="64"/>
      <c r="E322" s="66"/>
      <c r="F322" s="102" t="str">
        <f>HYPERLINK("https://pbs.twimg.com/profile_images/1666814261744766979/Z3Vpdskg_normal.jpg")</f>
        <v>https://pbs.twimg.com/profile_images/1666814261744766979/Z3Vpdskg_normal.jpg</v>
      </c>
      <c r="G322" s="63"/>
      <c r="H322" s="67"/>
      <c r="I322" s="68"/>
      <c r="J322" s="68"/>
      <c r="K322" s="67" t="s">
        <v>7566</v>
      </c>
      <c r="L322" s="71"/>
      <c r="M322" s="72"/>
      <c r="N322" s="72"/>
      <c r="O322" s="73"/>
      <c r="P322" s="74"/>
      <c r="Q322" s="74"/>
      <c r="R322" s="86"/>
      <c r="S322" s="86"/>
      <c r="T322" s="86"/>
      <c r="U322" s="86"/>
      <c r="V322" s="48"/>
      <c r="W322" s="48"/>
      <c r="X322" s="48"/>
      <c r="Y322" s="48"/>
      <c r="Z322" s="47"/>
      <c r="AA322" s="69">
        <v>322</v>
      </c>
      <c r="AB322" s="69"/>
      <c r="AC322" s="70"/>
      <c r="AD322" s="76" t="s">
        <v>6443</v>
      </c>
      <c r="AE322" s="81" t="s">
        <v>6546</v>
      </c>
      <c r="AF322" s="76">
        <v>337</v>
      </c>
      <c r="AG322" s="76">
        <v>731</v>
      </c>
      <c r="AH322" s="76">
        <v>880</v>
      </c>
      <c r="AI322" s="76">
        <v>2</v>
      </c>
      <c r="AJ322" s="76">
        <v>362</v>
      </c>
      <c r="AK322" s="76">
        <v>699</v>
      </c>
      <c r="AL322" s="76" t="b">
        <v>0</v>
      </c>
      <c r="AM322" s="78">
        <v>40053.701979166668</v>
      </c>
      <c r="AN322" s="76" t="s">
        <v>3752</v>
      </c>
      <c r="AO322" s="76" t="s">
        <v>6961</v>
      </c>
      <c r="AP322" s="83" t="str">
        <f>HYPERLINK("https://t.co/1xWXdwfb9T")</f>
        <v>https://t.co/1xWXdwfb9T</v>
      </c>
      <c r="AQ322" s="83" t="str">
        <f>HYPERLINK("https://www.kakoramos.com/")</f>
        <v>https://www.kakoramos.com/</v>
      </c>
      <c r="AR322" s="76" t="s">
        <v>7180</v>
      </c>
      <c r="AS322" s="76"/>
      <c r="AT322" s="76"/>
      <c r="AU322" s="76"/>
      <c r="AV322" s="76"/>
      <c r="AW322" s="83" t="str">
        <f>HYPERLINK("https://t.co/1xWXdwfb9T")</f>
        <v>https://t.co/1xWXdwfb9T</v>
      </c>
      <c r="AX322" s="76" t="b">
        <v>0</v>
      </c>
      <c r="AY322" s="76"/>
      <c r="AZ322" s="76"/>
      <c r="BA322" s="76" t="b">
        <v>1</v>
      </c>
      <c r="BB322" s="76" t="b">
        <v>1</v>
      </c>
      <c r="BC322" s="76" t="b">
        <v>0</v>
      </c>
      <c r="BD322" s="76" t="b">
        <v>0</v>
      </c>
      <c r="BE322" s="76" t="b">
        <v>0</v>
      </c>
      <c r="BF322" s="76" t="b">
        <v>0</v>
      </c>
      <c r="BG322" s="76" t="b">
        <v>0</v>
      </c>
      <c r="BH322" s="83" t="str">
        <f>HYPERLINK("https://pbs.twimg.com/profile_banners/69634735/1686234463")</f>
        <v>https://pbs.twimg.com/profile_banners/69634735/1686234463</v>
      </c>
      <c r="BI322" s="76"/>
      <c r="BJ322" s="76" t="s">
        <v>7245</v>
      </c>
      <c r="BK322" s="76" t="b">
        <v>0</v>
      </c>
      <c r="BL322" s="76"/>
      <c r="BM322" s="76" t="s">
        <v>66</v>
      </c>
      <c r="BN322" s="76" t="s">
        <v>7247</v>
      </c>
      <c r="BO322" s="83" t="str">
        <f>HYPERLINK("https://twitter.com/kakoramos")</f>
        <v>https://twitter.com/kakoramos</v>
      </c>
      <c r="BP322" s="2"/>
    </row>
    <row r="323" spans="1:68" x14ac:dyDescent="0.25">
      <c r="A323" s="62" t="s">
        <v>529</v>
      </c>
      <c r="B323" s="63"/>
      <c r="C323" s="63"/>
      <c r="D323" s="64"/>
      <c r="E323" s="66"/>
      <c r="F323" s="102" t="str">
        <f>HYPERLINK("https://pbs.twimg.com/profile_images/1693989358360211457/BdeFRU4M_normal.jpg")</f>
        <v>https://pbs.twimg.com/profile_images/1693989358360211457/BdeFRU4M_normal.jpg</v>
      </c>
      <c r="G323" s="63"/>
      <c r="H323" s="67"/>
      <c r="I323" s="68"/>
      <c r="J323" s="68"/>
      <c r="K323" s="67" t="s">
        <v>7567</v>
      </c>
      <c r="L323" s="71"/>
      <c r="M323" s="72"/>
      <c r="N323" s="72"/>
      <c r="O323" s="73"/>
      <c r="P323" s="74"/>
      <c r="Q323" s="74"/>
      <c r="R323" s="86"/>
      <c r="S323" s="86"/>
      <c r="T323" s="86"/>
      <c r="U323" s="86"/>
      <c r="V323" s="48"/>
      <c r="W323" s="48"/>
      <c r="X323" s="48"/>
      <c r="Y323" s="48"/>
      <c r="Z323" s="47"/>
      <c r="AA323" s="69">
        <v>323</v>
      </c>
      <c r="AB323" s="69"/>
      <c r="AC323" s="70"/>
      <c r="AD323" s="76" t="s">
        <v>6444</v>
      </c>
      <c r="AE323" s="81" t="s">
        <v>6072</v>
      </c>
      <c r="AF323" s="76">
        <v>1</v>
      </c>
      <c r="AG323" s="76">
        <v>22</v>
      </c>
      <c r="AH323" s="76">
        <v>35</v>
      </c>
      <c r="AI323" s="76">
        <v>0</v>
      </c>
      <c r="AJ323" s="76">
        <v>25</v>
      </c>
      <c r="AK323" s="76">
        <v>29</v>
      </c>
      <c r="AL323" s="76" t="b">
        <v>0</v>
      </c>
      <c r="AM323" s="78">
        <v>44963.553298611114</v>
      </c>
      <c r="AN323" s="76"/>
      <c r="AO323" s="76"/>
      <c r="AP323" s="76"/>
      <c r="AQ323" s="76"/>
      <c r="AR323" s="76"/>
      <c r="AS323" s="76"/>
      <c r="AT323" s="76"/>
      <c r="AU323" s="76"/>
      <c r="AV323" s="76"/>
      <c r="AW323" s="76"/>
      <c r="AX323" s="76" t="b">
        <v>0</v>
      </c>
      <c r="AY323" s="76"/>
      <c r="AZ323" s="76"/>
      <c r="BA323" s="76" t="b">
        <v>0</v>
      </c>
      <c r="BB323" s="76" t="b">
        <v>1</v>
      </c>
      <c r="BC323" s="76" t="b">
        <v>1</v>
      </c>
      <c r="BD323" s="76" t="b">
        <v>0</v>
      </c>
      <c r="BE323" s="76" t="b">
        <v>0</v>
      </c>
      <c r="BF323" s="76" t="b">
        <v>0</v>
      </c>
      <c r="BG323" s="76" t="b">
        <v>0</v>
      </c>
      <c r="BH323" s="76"/>
      <c r="BI323" s="76"/>
      <c r="BJ323" s="76" t="s">
        <v>7245</v>
      </c>
      <c r="BK323" s="76" t="b">
        <v>0</v>
      </c>
      <c r="BL323" s="76"/>
      <c r="BM323" s="76" t="s">
        <v>66</v>
      </c>
      <c r="BN323" s="76" t="s">
        <v>7247</v>
      </c>
      <c r="BO323" s="83" t="str">
        <f>HYPERLINK("https://twitter.com/umlokd")</f>
        <v>https://twitter.com/umlokd</v>
      </c>
      <c r="BP323" s="2"/>
    </row>
    <row r="324" spans="1:68" x14ac:dyDescent="0.25">
      <c r="A324" s="62" t="s">
        <v>530</v>
      </c>
      <c r="B324" s="63"/>
      <c r="C324" s="63"/>
      <c r="D324" s="64"/>
      <c r="E324" s="66"/>
      <c r="F324" s="102" t="str">
        <f>HYPERLINK("https://pbs.twimg.com/profile_images/1656797389892591616/hUeiNqk__normal.jpg")</f>
        <v>https://pbs.twimg.com/profile_images/1656797389892591616/hUeiNqk__normal.jpg</v>
      </c>
      <c r="G324" s="63"/>
      <c r="H324" s="67"/>
      <c r="I324" s="68"/>
      <c r="J324" s="68"/>
      <c r="K324" s="67" t="s">
        <v>7568</v>
      </c>
      <c r="L324" s="71"/>
      <c r="M324" s="72"/>
      <c r="N324" s="72"/>
      <c r="O324" s="73"/>
      <c r="P324" s="74"/>
      <c r="Q324" s="74"/>
      <c r="R324" s="86"/>
      <c r="S324" s="86"/>
      <c r="T324" s="86"/>
      <c r="U324" s="86"/>
      <c r="V324" s="48"/>
      <c r="W324" s="48"/>
      <c r="X324" s="48"/>
      <c r="Y324" s="48"/>
      <c r="Z324" s="47"/>
      <c r="AA324" s="69">
        <v>324</v>
      </c>
      <c r="AB324" s="69"/>
      <c r="AC324" s="70"/>
      <c r="AD324" s="76" t="s">
        <v>6445</v>
      </c>
      <c r="AE324" s="81" t="s">
        <v>6073</v>
      </c>
      <c r="AF324" s="76">
        <v>0</v>
      </c>
      <c r="AG324" s="76">
        <v>1</v>
      </c>
      <c r="AH324" s="76">
        <v>4</v>
      </c>
      <c r="AI324" s="76">
        <v>0</v>
      </c>
      <c r="AJ324" s="76">
        <v>0</v>
      </c>
      <c r="AK324" s="76">
        <v>2</v>
      </c>
      <c r="AL324" s="76" t="b">
        <v>0</v>
      </c>
      <c r="AM324" s="78">
        <v>45057.95888888889</v>
      </c>
      <c r="AN324" s="76"/>
      <c r="AO324" s="76" t="s">
        <v>6962</v>
      </c>
      <c r="AP324" s="83" t="str">
        <f>HYPERLINK("https://t.co/4ySUI5adRd")</f>
        <v>https://t.co/4ySUI5adRd</v>
      </c>
      <c r="AQ324" s="83" t="str">
        <f>HYPERLINK("https://api.whatsapp.com/send?phone=5531990710542&amp;text=oii%20Raphael%20quero%20aprender%20sobre")</f>
        <v>https://api.whatsapp.com/send?phone=5531990710542&amp;text=oii%20Raphael%20quero%20aprender%20sobre</v>
      </c>
      <c r="AR324" s="76" t="s">
        <v>7181</v>
      </c>
      <c r="AS324" s="83" t="str">
        <f>HYPERLINK("https://t.co/WMQBFZlXGo")</f>
        <v>https://t.co/WMQBFZlXGo</v>
      </c>
      <c r="AT324" s="83" t="str">
        <f>HYPERLINK("http://linkr.bio/iniciar_a.goraa")</f>
        <v>http://linkr.bio/iniciar_a.goraa</v>
      </c>
      <c r="AU324" s="76" t="s">
        <v>7242</v>
      </c>
      <c r="AV324" s="76"/>
      <c r="AW324" s="83" t="str">
        <f>HYPERLINK("https://t.co/4ySUI5adRd")</f>
        <v>https://t.co/4ySUI5adRd</v>
      </c>
      <c r="AX324" s="76" t="b">
        <v>0</v>
      </c>
      <c r="AY324" s="76"/>
      <c r="AZ324" s="76"/>
      <c r="BA324" s="76" t="b">
        <v>0</v>
      </c>
      <c r="BB324" s="76" t="b">
        <v>1</v>
      </c>
      <c r="BC324" s="76" t="b">
        <v>1</v>
      </c>
      <c r="BD324" s="76" t="b">
        <v>0</v>
      </c>
      <c r="BE324" s="76" t="b">
        <v>0</v>
      </c>
      <c r="BF324" s="76" t="b">
        <v>0</v>
      </c>
      <c r="BG324" s="76" t="b">
        <v>0</v>
      </c>
      <c r="BH324" s="83" t="str">
        <f>HYPERLINK("https://pbs.twimg.com/profile_banners/1656796477874659328/1683848381")</f>
        <v>https://pbs.twimg.com/profile_banners/1656796477874659328/1683848381</v>
      </c>
      <c r="BI324" s="76"/>
      <c r="BJ324" s="76" t="s">
        <v>7245</v>
      </c>
      <c r="BK324" s="76" t="b">
        <v>0</v>
      </c>
      <c r="BL324" s="76"/>
      <c r="BM324" s="76" t="s">
        <v>66</v>
      </c>
      <c r="BN324" s="76" t="s">
        <v>7247</v>
      </c>
      <c r="BO324" s="83" t="str">
        <f>HYPERLINK("https://twitter.com/jovememprendedo")</f>
        <v>https://twitter.com/jovememprendedo</v>
      </c>
      <c r="BP324" s="2"/>
    </row>
    <row r="325" spans="1:68" x14ac:dyDescent="0.25">
      <c r="A325" s="62" t="s">
        <v>531</v>
      </c>
      <c r="B325" s="63"/>
      <c r="C325" s="63"/>
      <c r="D325" s="64"/>
      <c r="E325" s="66"/>
      <c r="F325" s="102" t="str">
        <f>HYPERLINK("https://pbs.twimg.com/profile_images/1686874153410789377/BbLURyVK_normal.jpg")</f>
        <v>https://pbs.twimg.com/profile_images/1686874153410789377/BbLURyVK_normal.jpg</v>
      </c>
      <c r="G325" s="63"/>
      <c r="H325" s="67"/>
      <c r="I325" s="68"/>
      <c r="J325" s="68"/>
      <c r="K325" s="67" t="s">
        <v>7569</v>
      </c>
      <c r="L325" s="71"/>
      <c r="M325" s="72"/>
      <c r="N325" s="72"/>
      <c r="O325" s="73"/>
      <c r="P325" s="74"/>
      <c r="Q325" s="74"/>
      <c r="R325" s="86"/>
      <c r="S325" s="86"/>
      <c r="T325" s="86"/>
      <c r="U325" s="86"/>
      <c r="V325" s="48"/>
      <c r="W325" s="48"/>
      <c r="X325" s="48"/>
      <c r="Y325" s="48"/>
      <c r="Z325" s="47"/>
      <c r="AA325" s="69">
        <v>325</v>
      </c>
      <c r="AB325" s="69"/>
      <c r="AC325" s="70"/>
      <c r="AD325" s="76" t="s">
        <v>6446</v>
      </c>
      <c r="AE325" s="81" t="s">
        <v>6547</v>
      </c>
      <c r="AF325" s="76">
        <v>76</v>
      </c>
      <c r="AG325" s="76">
        <v>383</v>
      </c>
      <c r="AH325" s="76">
        <v>3236</v>
      </c>
      <c r="AI325" s="76">
        <v>1</v>
      </c>
      <c r="AJ325" s="76">
        <v>6</v>
      </c>
      <c r="AK325" s="76">
        <v>189</v>
      </c>
      <c r="AL325" s="76" t="b">
        <v>0</v>
      </c>
      <c r="AM325" s="78">
        <v>40764.012916666667</v>
      </c>
      <c r="AN325" s="76" t="s">
        <v>3800</v>
      </c>
      <c r="AO325" s="76" t="s">
        <v>6963</v>
      </c>
      <c r="AP325" s="83" t="str">
        <f>HYPERLINK("https://t.co/6fIwh1NaCE")</f>
        <v>https://t.co/6fIwh1NaCE</v>
      </c>
      <c r="AQ325" s="83" t="str">
        <f>HYPERLINK("https://espiritualhope.com")</f>
        <v>https://espiritualhope.com</v>
      </c>
      <c r="AR325" s="76" t="s">
        <v>7182</v>
      </c>
      <c r="AS325" s="76"/>
      <c r="AT325" s="76"/>
      <c r="AU325" s="76"/>
      <c r="AV325" s="76"/>
      <c r="AW325" s="83" t="str">
        <f>HYPERLINK("https://t.co/6fIwh1NaCE")</f>
        <v>https://t.co/6fIwh1NaCE</v>
      </c>
      <c r="AX325" s="76" t="b">
        <v>0</v>
      </c>
      <c r="AY325" s="76"/>
      <c r="AZ325" s="76"/>
      <c r="BA325" s="76" t="b">
        <v>0</v>
      </c>
      <c r="BB325" s="76" t="b">
        <v>1</v>
      </c>
      <c r="BC325" s="76" t="b">
        <v>0</v>
      </c>
      <c r="BD325" s="76" t="b">
        <v>0</v>
      </c>
      <c r="BE325" s="76" t="b">
        <v>0</v>
      </c>
      <c r="BF325" s="76" t="b">
        <v>0</v>
      </c>
      <c r="BG325" s="76" t="b">
        <v>0</v>
      </c>
      <c r="BH325" s="83" t="str">
        <f>HYPERLINK("https://pbs.twimg.com/profile_banners/351247493/1681136465")</f>
        <v>https://pbs.twimg.com/profile_banners/351247493/1681136465</v>
      </c>
      <c r="BI325" s="76"/>
      <c r="BJ325" s="76" t="s">
        <v>7245</v>
      </c>
      <c r="BK325" s="76" t="b">
        <v>0</v>
      </c>
      <c r="BL325" s="76"/>
      <c r="BM325" s="76" t="s">
        <v>66</v>
      </c>
      <c r="BN325" s="76" t="s">
        <v>7247</v>
      </c>
      <c r="BO325" s="83" t="str">
        <f>HYPERLINK("https://twitter.com/caioneto2")</f>
        <v>https://twitter.com/caioneto2</v>
      </c>
      <c r="BP325" s="2"/>
    </row>
    <row r="326" spans="1:68" x14ac:dyDescent="0.25">
      <c r="A326" s="62" t="s">
        <v>532</v>
      </c>
      <c r="B326" s="63"/>
      <c r="C326" s="63"/>
      <c r="D326" s="64"/>
      <c r="E326" s="66"/>
      <c r="F326" s="102" t="str">
        <f>HYPERLINK("https://pbs.twimg.com/profile_images/1622886872572735489/ohQnt2GT_normal.jpg")</f>
        <v>https://pbs.twimg.com/profile_images/1622886872572735489/ohQnt2GT_normal.jpg</v>
      </c>
      <c r="G326" s="63"/>
      <c r="H326" s="67"/>
      <c r="I326" s="68"/>
      <c r="J326" s="68"/>
      <c r="K326" s="67" t="s">
        <v>7570</v>
      </c>
      <c r="L326" s="71"/>
      <c r="M326" s="72"/>
      <c r="N326" s="72"/>
      <c r="O326" s="73"/>
      <c r="P326" s="74"/>
      <c r="Q326" s="74"/>
      <c r="R326" s="86"/>
      <c r="S326" s="86"/>
      <c r="T326" s="86"/>
      <c r="U326" s="86"/>
      <c r="V326" s="48"/>
      <c r="W326" s="48"/>
      <c r="X326" s="48"/>
      <c r="Y326" s="48"/>
      <c r="Z326" s="47"/>
      <c r="AA326" s="69">
        <v>326</v>
      </c>
      <c r="AB326" s="69"/>
      <c r="AC326" s="70"/>
      <c r="AD326" s="76" t="s">
        <v>6447</v>
      </c>
      <c r="AE326" s="81" t="s">
        <v>6074</v>
      </c>
      <c r="AF326" s="76">
        <v>7</v>
      </c>
      <c r="AG326" s="76">
        <v>60</v>
      </c>
      <c r="AH326" s="76">
        <v>309</v>
      </c>
      <c r="AI326" s="76">
        <v>0</v>
      </c>
      <c r="AJ326" s="76">
        <v>2142</v>
      </c>
      <c r="AK326" s="76">
        <v>99</v>
      </c>
      <c r="AL326" s="76" t="b">
        <v>0</v>
      </c>
      <c r="AM326" s="78">
        <v>44953.348993055559</v>
      </c>
      <c r="AN326" s="76" t="s">
        <v>6663</v>
      </c>
      <c r="AO326" s="76" t="s">
        <v>6964</v>
      </c>
      <c r="AP326" s="76"/>
      <c r="AQ326" s="76"/>
      <c r="AR326" s="76"/>
      <c r="AS326" s="76"/>
      <c r="AT326" s="76"/>
      <c r="AU326" s="76"/>
      <c r="AV326" s="76">
        <v>1.6772993311818099E+18</v>
      </c>
      <c r="AW326" s="76"/>
      <c r="AX326" s="76" t="b">
        <v>0</v>
      </c>
      <c r="AY326" s="76"/>
      <c r="AZ326" s="76"/>
      <c r="BA326" s="76" t="b">
        <v>1</v>
      </c>
      <c r="BB326" s="76" t="b">
        <v>1</v>
      </c>
      <c r="BC326" s="76" t="b">
        <v>1</v>
      </c>
      <c r="BD326" s="76" t="b">
        <v>0</v>
      </c>
      <c r="BE326" s="76" t="b">
        <v>0</v>
      </c>
      <c r="BF326" s="76" t="b">
        <v>0</v>
      </c>
      <c r="BG326" s="76" t="b">
        <v>0</v>
      </c>
      <c r="BH326" s="83" t="str">
        <f>HYPERLINK("https://pbs.twimg.com/profile_banners/1618887061309726720/1677635360")</f>
        <v>https://pbs.twimg.com/profile_banners/1618887061309726720/1677635360</v>
      </c>
      <c r="BI326" s="76"/>
      <c r="BJ326" s="76" t="s">
        <v>7245</v>
      </c>
      <c r="BK326" s="76" t="b">
        <v>0</v>
      </c>
      <c r="BL326" s="76"/>
      <c r="BM326" s="76" t="s">
        <v>66</v>
      </c>
      <c r="BN326" s="76" t="s">
        <v>7247</v>
      </c>
      <c r="BO326" s="83" t="str">
        <f>HYPERLINK("https://twitter.com/andyz_2023")</f>
        <v>https://twitter.com/andyz_2023</v>
      </c>
      <c r="BP326" s="2"/>
    </row>
    <row r="327" spans="1:68" x14ac:dyDescent="0.25">
      <c r="A327" s="62" t="s">
        <v>579</v>
      </c>
      <c r="B327" s="63"/>
      <c r="C327" s="63"/>
      <c r="D327" s="64"/>
      <c r="E327" s="66"/>
      <c r="F327" s="102" t="str">
        <f>HYPERLINK("https://pbs.twimg.com/profile_images/1530895192882130946/5xlZo2RQ_normal.jpg")</f>
        <v>https://pbs.twimg.com/profile_images/1530895192882130946/5xlZo2RQ_normal.jpg</v>
      </c>
      <c r="G327" s="63"/>
      <c r="H327" s="67"/>
      <c r="I327" s="68"/>
      <c r="J327" s="68"/>
      <c r="K327" s="67" t="s">
        <v>7571</v>
      </c>
      <c r="L327" s="71"/>
      <c r="M327" s="72"/>
      <c r="N327" s="72"/>
      <c r="O327" s="73"/>
      <c r="P327" s="74"/>
      <c r="Q327" s="74"/>
      <c r="R327" s="86"/>
      <c r="S327" s="86"/>
      <c r="T327" s="86"/>
      <c r="U327" s="86"/>
      <c r="V327" s="48"/>
      <c r="W327" s="48"/>
      <c r="X327" s="48"/>
      <c r="Y327" s="48"/>
      <c r="Z327" s="47"/>
      <c r="AA327" s="69">
        <v>327</v>
      </c>
      <c r="AB327" s="69"/>
      <c r="AC327" s="70"/>
      <c r="AD327" s="76" t="s">
        <v>6448</v>
      </c>
      <c r="AE327" s="81" t="s">
        <v>6548</v>
      </c>
      <c r="AF327" s="76">
        <v>15751</v>
      </c>
      <c r="AG327" s="76">
        <v>22</v>
      </c>
      <c r="AH327" s="76">
        <v>1332</v>
      </c>
      <c r="AI327" s="76">
        <v>94</v>
      </c>
      <c r="AJ327" s="76">
        <v>2465</v>
      </c>
      <c r="AK327" s="76">
        <v>497</v>
      </c>
      <c r="AL327" s="76" t="b">
        <v>0</v>
      </c>
      <c r="AM327" s="78">
        <v>44560.571226851855</v>
      </c>
      <c r="AN327" s="76"/>
      <c r="AO327" s="76" t="s">
        <v>6965</v>
      </c>
      <c r="AP327" s="83" t="str">
        <f>HYPERLINK("https://t.co/qOpxX3ZLGM")</f>
        <v>https://t.co/qOpxX3ZLGM</v>
      </c>
      <c r="AQ327" s="83" t="str">
        <f>HYPERLINK("https://instagram.com/fiis_fundosimobiliarios?utm_medium=copy_link")</f>
        <v>https://instagram.com/fiis_fundosimobiliarios?utm_medium=copy_link</v>
      </c>
      <c r="AR327" s="76" t="s">
        <v>7183</v>
      </c>
      <c r="AS327" s="76"/>
      <c r="AT327" s="76"/>
      <c r="AU327" s="76"/>
      <c r="AV327" s="76"/>
      <c r="AW327" s="83" t="str">
        <f>HYPERLINK("https://t.co/qOpxX3ZLGM")</f>
        <v>https://t.co/qOpxX3ZLGM</v>
      </c>
      <c r="AX327" s="76" t="b">
        <v>0</v>
      </c>
      <c r="AY327" s="76"/>
      <c r="AZ327" s="76"/>
      <c r="BA327" s="76" t="b">
        <v>0</v>
      </c>
      <c r="BB327" s="76" t="b">
        <v>1</v>
      </c>
      <c r="BC327" s="76" t="b">
        <v>1</v>
      </c>
      <c r="BD327" s="76" t="b">
        <v>0</v>
      </c>
      <c r="BE327" s="76" t="b">
        <v>1</v>
      </c>
      <c r="BF327" s="76" t="b">
        <v>0</v>
      </c>
      <c r="BG327" s="76" t="b">
        <v>0</v>
      </c>
      <c r="BH327" s="83" t="str">
        <f>HYPERLINK("https://pbs.twimg.com/profile_banners/1476549206508724228/1656987091")</f>
        <v>https://pbs.twimg.com/profile_banners/1476549206508724228/1656987091</v>
      </c>
      <c r="BI327" s="76"/>
      <c r="BJ327" s="76" t="s">
        <v>7245</v>
      </c>
      <c r="BK327" s="76" t="b">
        <v>0</v>
      </c>
      <c r="BL327" s="76"/>
      <c r="BM327" s="76" t="s">
        <v>65</v>
      </c>
      <c r="BN327" s="76" t="s">
        <v>7247</v>
      </c>
      <c r="BO327" s="83" t="str">
        <f>HYPERLINK("https://twitter.com/fiis_fi")</f>
        <v>https://twitter.com/fiis_fi</v>
      </c>
      <c r="BP327" s="2"/>
    </row>
    <row r="328" spans="1:68" x14ac:dyDescent="0.25">
      <c r="A328" s="62" t="s">
        <v>580</v>
      </c>
      <c r="B328" s="63"/>
      <c r="C328" s="63"/>
      <c r="D328" s="64"/>
      <c r="E328" s="66"/>
      <c r="F328" s="102" t="str">
        <f>HYPERLINK("https://pbs.twimg.com/profile_images/1604869788706144261/LRF8vl5i_normal.jpg")</f>
        <v>https://pbs.twimg.com/profile_images/1604869788706144261/LRF8vl5i_normal.jpg</v>
      </c>
      <c r="G328" s="63"/>
      <c r="H328" s="67"/>
      <c r="I328" s="68"/>
      <c r="J328" s="68"/>
      <c r="K328" s="67" t="s">
        <v>7572</v>
      </c>
      <c r="L328" s="71"/>
      <c r="M328" s="72"/>
      <c r="N328" s="72"/>
      <c r="O328" s="73"/>
      <c r="P328" s="74"/>
      <c r="Q328" s="74"/>
      <c r="R328" s="86"/>
      <c r="S328" s="86"/>
      <c r="T328" s="86"/>
      <c r="U328" s="86"/>
      <c r="V328" s="48"/>
      <c r="W328" s="48"/>
      <c r="X328" s="48"/>
      <c r="Y328" s="48"/>
      <c r="Z328" s="47"/>
      <c r="AA328" s="69">
        <v>328</v>
      </c>
      <c r="AB328" s="69"/>
      <c r="AC328" s="70"/>
      <c r="AD328" s="76" t="s">
        <v>6449</v>
      </c>
      <c r="AE328" s="81" t="s">
        <v>6549</v>
      </c>
      <c r="AF328" s="76">
        <v>169837</v>
      </c>
      <c r="AG328" s="76">
        <v>576</v>
      </c>
      <c r="AH328" s="76">
        <v>11199</v>
      </c>
      <c r="AI328" s="76">
        <v>506</v>
      </c>
      <c r="AJ328" s="76">
        <v>4655</v>
      </c>
      <c r="AK328" s="76">
        <v>1262</v>
      </c>
      <c r="AL328" s="76" t="b">
        <v>0</v>
      </c>
      <c r="AM328" s="78">
        <v>43647.847395833334</v>
      </c>
      <c r="AN328" s="76" t="s">
        <v>6664</v>
      </c>
      <c r="AO328" s="76" t="s">
        <v>6966</v>
      </c>
      <c r="AP328" s="83" t="str">
        <f>HYPERLINK("https://t.co/Ez4Gm0Ixh5")</f>
        <v>https://t.co/Ez4Gm0Ixh5</v>
      </c>
      <c r="AQ328" s="83" t="str">
        <f>HYPERLINK("http://bit.ly/SRA-favinvest")</f>
        <v>http://bit.ly/SRA-favinvest</v>
      </c>
      <c r="AR328" s="76" t="s">
        <v>7184</v>
      </c>
      <c r="AS328" s="76"/>
      <c r="AT328" s="76"/>
      <c r="AU328" s="76"/>
      <c r="AV328" s="76">
        <v>1.3441023456978701E+18</v>
      </c>
      <c r="AW328" s="83" t="str">
        <f>HYPERLINK("https://t.co/Ez4Gm0Ixh5")</f>
        <v>https://t.co/Ez4Gm0Ixh5</v>
      </c>
      <c r="AX328" s="76" t="b">
        <v>1</v>
      </c>
      <c r="AY328" s="76"/>
      <c r="AZ328" s="76"/>
      <c r="BA328" s="76" t="b">
        <v>1</v>
      </c>
      <c r="BB328" s="76" t="b">
        <v>1</v>
      </c>
      <c r="BC328" s="76" t="b">
        <v>0</v>
      </c>
      <c r="BD328" s="76" t="b">
        <v>0</v>
      </c>
      <c r="BE328" s="76" t="b">
        <v>1</v>
      </c>
      <c r="BF328" s="76" t="b">
        <v>0</v>
      </c>
      <c r="BG328" s="76" t="b">
        <v>0</v>
      </c>
      <c r="BH328" s="83" t="str">
        <f>HYPERLINK("https://pbs.twimg.com/profile_banners/1145789231215849472/1656631768")</f>
        <v>https://pbs.twimg.com/profile_banners/1145789231215849472/1656631768</v>
      </c>
      <c r="BI328" s="76"/>
      <c r="BJ328" s="76" t="s">
        <v>7245</v>
      </c>
      <c r="BK328" s="76" t="b">
        <v>0</v>
      </c>
      <c r="BL328" s="76"/>
      <c r="BM328" s="76" t="s">
        <v>65</v>
      </c>
      <c r="BN328" s="76" t="s">
        <v>7247</v>
      </c>
      <c r="BO328" s="83" t="str">
        <f>HYPERLINK("https://twitter.com/faveladoinvest")</f>
        <v>https://twitter.com/faveladoinvest</v>
      </c>
      <c r="BP328" s="2"/>
    </row>
    <row r="329" spans="1:68" x14ac:dyDescent="0.25">
      <c r="A329" s="62" t="s">
        <v>533</v>
      </c>
      <c r="B329" s="63"/>
      <c r="C329" s="63"/>
      <c r="D329" s="64"/>
      <c r="E329" s="66"/>
      <c r="F329" s="102" t="str">
        <f>HYPERLINK("https://pbs.twimg.com/profile_images/1214965523693395969/5i8mPo7b_normal.png")</f>
        <v>https://pbs.twimg.com/profile_images/1214965523693395969/5i8mPo7b_normal.png</v>
      </c>
      <c r="G329" s="63"/>
      <c r="H329" s="67"/>
      <c r="I329" s="68"/>
      <c r="J329" s="68"/>
      <c r="K329" s="67" t="s">
        <v>7573</v>
      </c>
      <c r="L329" s="71"/>
      <c r="M329" s="72"/>
      <c r="N329" s="72"/>
      <c r="O329" s="73"/>
      <c r="P329" s="74"/>
      <c r="Q329" s="74"/>
      <c r="R329" s="86"/>
      <c r="S329" s="86"/>
      <c r="T329" s="86"/>
      <c r="U329" s="86"/>
      <c r="V329" s="48"/>
      <c r="W329" s="48"/>
      <c r="X329" s="48"/>
      <c r="Y329" s="48"/>
      <c r="Z329" s="47"/>
      <c r="AA329" s="69">
        <v>329</v>
      </c>
      <c r="AB329" s="69"/>
      <c r="AC329" s="70"/>
      <c r="AD329" s="76" t="s">
        <v>6450</v>
      </c>
      <c r="AE329" s="81" t="s">
        <v>6550</v>
      </c>
      <c r="AF329" s="76">
        <v>15</v>
      </c>
      <c r="AG329" s="76">
        <v>45</v>
      </c>
      <c r="AH329" s="76">
        <v>525</v>
      </c>
      <c r="AI329" s="76">
        <v>0</v>
      </c>
      <c r="AJ329" s="76">
        <v>0</v>
      </c>
      <c r="AK329" s="76">
        <v>511</v>
      </c>
      <c r="AL329" s="76" t="b">
        <v>0</v>
      </c>
      <c r="AM329" s="78">
        <v>42401.792129629626</v>
      </c>
      <c r="AN329" s="76" t="s">
        <v>6594</v>
      </c>
      <c r="AO329" s="76" t="s">
        <v>6967</v>
      </c>
      <c r="AP329" s="83" t="str">
        <f>HYPERLINK("https://t.co/bWoyC4NGAj")</f>
        <v>https://t.co/bWoyC4NGAj</v>
      </c>
      <c r="AQ329" s="83" t="str">
        <f>HYPERLINK("http://www.siacsistemas.com.br")</f>
        <v>http://www.siacsistemas.com.br</v>
      </c>
      <c r="AR329" s="76" t="s">
        <v>7185</v>
      </c>
      <c r="AS329" s="76"/>
      <c r="AT329" s="76"/>
      <c r="AU329" s="76"/>
      <c r="AV329" s="76"/>
      <c r="AW329" s="83" t="str">
        <f>HYPERLINK("https://t.co/bWoyC4NGAj")</f>
        <v>https://t.co/bWoyC4NGAj</v>
      </c>
      <c r="AX329" s="76" t="b">
        <v>0</v>
      </c>
      <c r="AY329" s="76"/>
      <c r="AZ329" s="76"/>
      <c r="BA329" s="76" t="b">
        <v>0</v>
      </c>
      <c r="BB329" s="76" t="b">
        <v>1</v>
      </c>
      <c r="BC329" s="76" t="b">
        <v>0</v>
      </c>
      <c r="BD329" s="76" t="b">
        <v>0</v>
      </c>
      <c r="BE329" s="76" t="b">
        <v>0</v>
      </c>
      <c r="BF329" s="76" t="b">
        <v>0</v>
      </c>
      <c r="BG329" s="76" t="b">
        <v>0</v>
      </c>
      <c r="BH329" s="76"/>
      <c r="BI329" s="76"/>
      <c r="BJ329" s="76" t="s">
        <v>7245</v>
      </c>
      <c r="BK329" s="76" t="b">
        <v>0</v>
      </c>
      <c r="BL329" s="76"/>
      <c r="BM329" s="76" t="s">
        <v>66</v>
      </c>
      <c r="BN329" s="76" t="s">
        <v>7247</v>
      </c>
      <c r="BO329" s="83" t="str">
        <f>HYPERLINK("https://twitter.com/siacsistemas")</f>
        <v>https://twitter.com/siacsistemas</v>
      </c>
      <c r="BP329" s="2"/>
    </row>
    <row r="330" spans="1:68" x14ac:dyDescent="0.25">
      <c r="A330" s="62" t="s">
        <v>534</v>
      </c>
      <c r="B330" s="63"/>
      <c r="C330" s="63"/>
      <c r="D330" s="64"/>
      <c r="E330" s="66"/>
      <c r="F330" s="102" t="str">
        <f>HYPERLINK("https://pbs.twimg.com/profile_images/1306609108116742144/SS43UZSs_normal.jpg")</f>
        <v>https://pbs.twimg.com/profile_images/1306609108116742144/SS43UZSs_normal.jpg</v>
      </c>
      <c r="G330" s="63"/>
      <c r="H330" s="67"/>
      <c r="I330" s="68"/>
      <c r="J330" s="68"/>
      <c r="K330" s="67" t="s">
        <v>7574</v>
      </c>
      <c r="L330" s="71"/>
      <c r="M330" s="72"/>
      <c r="N330" s="72"/>
      <c r="O330" s="73"/>
      <c r="P330" s="74"/>
      <c r="Q330" s="74"/>
      <c r="R330" s="86"/>
      <c r="S330" s="86"/>
      <c r="T330" s="86"/>
      <c r="U330" s="86"/>
      <c r="V330" s="48"/>
      <c r="W330" s="48"/>
      <c r="X330" s="48"/>
      <c r="Y330" s="48"/>
      <c r="Z330" s="47"/>
      <c r="AA330" s="69">
        <v>330</v>
      </c>
      <c r="AB330" s="69"/>
      <c r="AC330" s="70"/>
      <c r="AD330" s="76" t="s">
        <v>6451</v>
      </c>
      <c r="AE330" s="81" t="s">
        <v>6075</v>
      </c>
      <c r="AF330" s="76">
        <v>784</v>
      </c>
      <c r="AG330" s="76">
        <v>4</v>
      </c>
      <c r="AH330" s="76">
        <v>2025</v>
      </c>
      <c r="AI330" s="76">
        <v>9</v>
      </c>
      <c r="AJ330" s="76">
        <v>18</v>
      </c>
      <c r="AK330" s="76">
        <v>1951</v>
      </c>
      <c r="AL330" s="76" t="b">
        <v>0</v>
      </c>
      <c r="AM330" s="78">
        <v>44091.625555555554</v>
      </c>
      <c r="AN330" s="76" t="s">
        <v>3760</v>
      </c>
      <c r="AO330" s="76" t="s">
        <v>6968</v>
      </c>
      <c r="AP330" s="83" t="str">
        <f>HYPERLINK("https://t.co/EK50JVHx0P")</f>
        <v>https://t.co/EK50JVHx0P</v>
      </c>
      <c r="AQ330" s="83" t="str">
        <f>HYPERLINK("https://www.trabalhoefe.com.br/")</f>
        <v>https://www.trabalhoefe.com.br/</v>
      </c>
      <c r="AR330" s="76" t="s">
        <v>7186</v>
      </c>
      <c r="AS330" s="76"/>
      <c r="AT330" s="76"/>
      <c r="AU330" s="76"/>
      <c r="AV330" s="76"/>
      <c r="AW330" s="83" t="str">
        <f>HYPERLINK("https://t.co/EK50JVHx0P")</f>
        <v>https://t.co/EK50JVHx0P</v>
      </c>
      <c r="AX330" s="76" t="b">
        <v>0</v>
      </c>
      <c r="AY330" s="76"/>
      <c r="AZ330" s="76"/>
      <c r="BA330" s="76" t="b">
        <v>0</v>
      </c>
      <c r="BB330" s="76" t="b">
        <v>1</v>
      </c>
      <c r="BC330" s="76" t="b">
        <v>1</v>
      </c>
      <c r="BD330" s="76" t="b">
        <v>0</v>
      </c>
      <c r="BE330" s="76" t="b">
        <v>0</v>
      </c>
      <c r="BF330" s="76" t="b">
        <v>0</v>
      </c>
      <c r="BG330" s="76" t="b">
        <v>0</v>
      </c>
      <c r="BH330" s="83" t="str">
        <f>HYPERLINK("https://pbs.twimg.com/profile_banners/1306609003691114496/1618074150")</f>
        <v>https://pbs.twimg.com/profile_banners/1306609003691114496/1618074150</v>
      </c>
      <c r="BI330" s="76"/>
      <c r="BJ330" s="76" t="s">
        <v>7245</v>
      </c>
      <c r="BK330" s="76" t="b">
        <v>0</v>
      </c>
      <c r="BL330" s="76"/>
      <c r="BM330" s="76" t="s">
        <v>66</v>
      </c>
      <c r="BN330" s="76" t="s">
        <v>7247</v>
      </c>
      <c r="BO330" s="83" t="str">
        <f>HYPERLINK("https://twitter.com/fetrabalho1")</f>
        <v>https://twitter.com/fetrabalho1</v>
      </c>
      <c r="BP330" s="2"/>
    </row>
    <row r="331" spans="1:68" x14ac:dyDescent="0.25">
      <c r="A331" s="62" t="s">
        <v>535</v>
      </c>
      <c r="B331" s="63"/>
      <c r="C331" s="63"/>
      <c r="D331" s="64"/>
      <c r="E331" s="66"/>
      <c r="F331" s="102" t="str">
        <f>HYPERLINK("https://pbs.twimg.com/profile_images/1645508547994681345/Cu2nWYBA_normal.jpg")</f>
        <v>https://pbs.twimg.com/profile_images/1645508547994681345/Cu2nWYBA_normal.jpg</v>
      </c>
      <c r="G331" s="63"/>
      <c r="H331" s="67"/>
      <c r="I331" s="68"/>
      <c r="J331" s="68"/>
      <c r="K331" s="67" t="s">
        <v>7575</v>
      </c>
      <c r="L331" s="71"/>
      <c r="M331" s="72"/>
      <c r="N331" s="72"/>
      <c r="O331" s="73"/>
      <c r="P331" s="74"/>
      <c r="Q331" s="74"/>
      <c r="R331" s="86"/>
      <c r="S331" s="86"/>
      <c r="T331" s="86"/>
      <c r="U331" s="86"/>
      <c r="V331" s="48"/>
      <c r="W331" s="48"/>
      <c r="X331" s="48"/>
      <c r="Y331" s="48"/>
      <c r="Z331" s="47"/>
      <c r="AA331" s="69">
        <v>331</v>
      </c>
      <c r="AB331" s="69"/>
      <c r="AC331" s="70"/>
      <c r="AD331" s="76" t="s">
        <v>6452</v>
      </c>
      <c r="AE331" s="81" t="s">
        <v>5610</v>
      </c>
      <c r="AF331" s="76">
        <v>10</v>
      </c>
      <c r="AG331" s="76">
        <v>36</v>
      </c>
      <c r="AH331" s="76">
        <v>515</v>
      </c>
      <c r="AI331" s="76">
        <v>0</v>
      </c>
      <c r="AJ331" s="76">
        <v>23</v>
      </c>
      <c r="AK331" s="76">
        <v>305</v>
      </c>
      <c r="AL331" s="76" t="b">
        <v>0</v>
      </c>
      <c r="AM331" s="78">
        <v>44735.674791666665</v>
      </c>
      <c r="AN331" s="76"/>
      <c r="AO331" s="76" t="s">
        <v>6969</v>
      </c>
      <c r="AP331" s="83" t="str">
        <f>HYPERLINK("https://t.co/zpjnsxfFS6")</f>
        <v>https://t.co/zpjnsxfFS6</v>
      </c>
      <c r="AQ331" s="83" t="str">
        <f>HYPERLINK("http://www.keepgrowing.com.br")</f>
        <v>http://www.keepgrowing.com.br</v>
      </c>
      <c r="AR331" s="76" t="s">
        <v>7187</v>
      </c>
      <c r="AS331" s="83" t="str">
        <f>HYPERLINK("https://t.co/c6QGORXc0J")</f>
        <v>https://t.co/c6QGORXc0J</v>
      </c>
      <c r="AT331" s="83" t="str">
        <f>HYPERLINK("http://keepgrowing.com.br")</f>
        <v>http://keepgrowing.com.br</v>
      </c>
      <c r="AU331" s="76" t="s">
        <v>7187</v>
      </c>
      <c r="AV331" s="76"/>
      <c r="AW331" s="83" t="str">
        <f>HYPERLINK("https://t.co/zpjnsxfFS6")</f>
        <v>https://t.co/zpjnsxfFS6</v>
      </c>
      <c r="AX331" s="76" t="b">
        <v>0</v>
      </c>
      <c r="AY331" s="76"/>
      <c r="AZ331" s="76"/>
      <c r="BA331" s="76" t="b">
        <v>0</v>
      </c>
      <c r="BB331" s="76" t="b">
        <v>1</v>
      </c>
      <c r="BC331" s="76" t="b">
        <v>1</v>
      </c>
      <c r="BD331" s="76" t="b">
        <v>0</v>
      </c>
      <c r="BE331" s="76" t="b">
        <v>0</v>
      </c>
      <c r="BF331" s="76" t="b">
        <v>0</v>
      </c>
      <c r="BG331" s="76" t="b">
        <v>0</v>
      </c>
      <c r="BH331" s="83" t="str">
        <f>HYPERLINK("https://pbs.twimg.com/profile_banners/1540004255012102144/1656001105")</f>
        <v>https://pbs.twimg.com/profile_banners/1540004255012102144/1656001105</v>
      </c>
      <c r="BI331" s="76"/>
      <c r="BJ331" s="76" t="s">
        <v>7245</v>
      </c>
      <c r="BK331" s="76" t="b">
        <v>0</v>
      </c>
      <c r="BL331" s="76"/>
      <c r="BM331" s="76" t="s">
        <v>66</v>
      </c>
      <c r="BN331" s="76" t="s">
        <v>7247</v>
      </c>
      <c r="BO331" s="83" t="str">
        <f>HYPERLINK("https://twitter.com/keepgrowing_")</f>
        <v>https://twitter.com/keepgrowing_</v>
      </c>
      <c r="BP331" s="2"/>
    </row>
    <row r="332" spans="1:68" x14ac:dyDescent="0.25">
      <c r="A332" s="62" t="s">
        <v>536</v>
      </c>
      <c r="B332" s="63"/>
      <c r="C332" s="63"/>
      <c r="D332" s="64"/>
      <c r="E332" s="66"/>
      <c r="F332" s="102" t="str">
        <f>HYPERLINK("https://pbs.twimg.com/profile_images/993479284856709121/ZQpy2w-j_normal.jpg")</f>
        <v>https://pbs.twimg.com/profile_images/993479284856709121/ZQpy2w-j_normal.jpg</v>
      </c>
      <c r="G332" s="63"/>
      <c r="H332" s="67"/>
      <c r="I332" s="68"/>
      <c r="J332" s="68"/>
      <c r="K332" s="67" t="s">
        <v>7576</v>
      </c>
      <c r="L332" s="71"/>
      <c r="M332" s="72"/>
      <c r="N332" s="72"/>
      <c r="O332" s="73"/>
      <c r="P332" s="74"/>
      <c r="Q332" s="74"/>
      <c r="R332" s="86"/>
      <c r="S332" s="86"/>
      <c r="T332" s="86"/>
      <c r="U332" s="86"/>
      <c r="V332" s="48"/>
      <c r="W332" s="48"/>
      <c r="X332" s="48"/>
      <c r="Y332" s="48"/>
      <c r="Z332" s="47"/>
      <c r="AA332" s="69">
        <v>332</v>
      </c>
      <c r="AB332" s="69"/>
      <c r="AC332" s="70"/>
      <c r="AD332" s="76" t="s">
        <v>6453</v>
      </c>
      <c r="AE332" s="81" t="s">
        <v>6551</v>
      </c>
      <c r="AF332" s="76">
        <v>3340</v>
      </c>
      <c r="AG332" s="76">
        <v>215</v>
      </c>
      <c r="AH332" s="76">
        <v>28088</v>
      </c>
      <c r="AI332" s="76">
        <v>124</v>
      </c>
      <c r="AJ332" s="76">
        <v>6</v>
      </c>
      <c r="AK332" s="76">
        <v>2064</v>
      </c>
      <c r="AL332" s="76" t="b">
        <v>0</v>
      </c>
      <c r="AM332" s="78">
        <v>39891.830208333333</v>
      </c>
      <c r="AN332" s="76" t="s">
        <v>6665</v>
      </c>
      <c r="AO332" s="76" t="s">
        <v>6970</v>
      </c>
      <c r="AP332" s="76"/>
      <c r="AQ332" s="76"/>
      <c r="AR332" s="76"/>
      <c r="AS332" s="76"/>
      <c r="AT332" s="76"/>
      <c r="AU332" s="76"/>
      <c r="AV332" s="76"/>
      <c r="AW332" s="76"/>
      <c r="AX332" s="76" t="b">
        <v>0</v>
      </c>
      <c r="AY332" s="76"/>
      <c r="AZ332" s="76"/>
      <c r="BA332" s="76" t="b">
        <v>0</v>
      </c>
      <c r="BB332" s="76" t="b">
        <v>1</v>
      </c>
      <c r="BC332" s="76" t="b">
        <v>0</v>
      </c>
      <c r="BD332" s="76" t="b">
        <v>0</v>
      </c>
      <c r="BE332" s="76" t="b">
        <v>0</v>
      </c>
      <c r="BF332" s="76" t="b">
        <v>0</v>
      </c>
      <c r="BG332" s="76" t="b">
        <v>0</v>
      </c>
      <c r="BH332" s="76"/>
      <c r="BI332" s="76"/>
      <c r="BJ332" s="76" t="s">
        <v>7245</v>
      </c>
      <c r="BK332" s="76" t="b">
        <v>0</v>
      </c>
      <c r="BL332" s="76"/>
      <c r="BM332" s="76" t="s">
        <v>66</v>
      </c>
      <c r="BN332" s="76" t="s">
        <v>7247</v>
      </c>
      <c r="BO332" s="83" t="str">
        <f>HYPERLINK("https://twitter.com/financas")</f>
        <v>https://twitter.com/financas</v>
      </c>
      <c r="BP332" s="2"/>
    </row>
    <row r="333" spans="1:68" x14ac:dyDescent="0.25">
      <c r="A333" s="62" t="s">
        <v>537</v>
      </c>
      <c r="B333" s="63"/>
      <c r="C333" s="63"/>
      <c r="D333" s="64"/>
      <c r="E333" s="66"/>
      <c r="F333" s="102" t="str">
        <f>HYPERLINK("https://pbs.twimg.com/profile_images/1604293399519133697/_jXXVUwO_normal.jpg")</f>
        <v>https://pbs.twimg.com/profile_images/1604293399519133697/_jXXVUwO_normal.jpg</v>
      </c>
      <c r="G333" s="63"/>
      <c r="H333" s="67"/>
      <c r="I333" s="68"/>
      <c r="J333" s="68"/>
      <c r="K333" s="67" t="s">
        <v>7577</v>
      </c>
      <c r="L333" s="71"/>
      <c r="M333" s="72"/>
      <c r="N333" s="72"/>
      <c r="O333" s="73"/>
      <c r="P333" s="74"/>
      <c r="Q333" s="74"/>
      <c r="R333" s="86"/>
      <c r="S333" s="86"/>
      <c r="T333" s="86"/>
      <c r="U333" s="86"/>
      <c r="V333" s="48"/>
      <c r="W333" s="48"/>
      <c r="X333" s="48"/>
      <c r="Y333" s="48"/>
      <c r="Z333" s="47"/>
      <c r="AA333" s="69">
        <v>333</v>
      </c>
      <c r="AB333" s="69"/>
      <c r="AC333" s="70"/>
      <c r="AD333" s="76" t="s">
        <v>6454</v>
      </c>
      <c r="AE333" s="81" t="s">
        <v>6076</v>
      </c>
      <c r="AF333" s="76">
        <v>0</v>
      </c>
      <c r="AG333" s="76">
        <v>9</v>
      </c>
      <c r="AH333" s="76">
        <v>12</v>
      </c>
      <c r="AI333" s="76">
        <v>0</v>
      </c>
      <c r="AJ333" s="76">
        <v>6</v>
      </c>
      <c r="AK333" s="76">
        <v>3</v>
      </c>
      <c r="AL333" s="76" t="b">
        <v>0</v>
      </c>
      <c r="AM333" s="78">
        <v>44383.491157407407</v>
      </c>
      <c r="AN333" s="76"/>
      <c r="AO333" s="76" t="s">
        <v>6971</v>
      </c>
      <c r="AP333" s="83" t="str">
        <f>HYPERLINK("https://t.co/reJ8GQqsOY")</f>
        <v>https://t.co/reJ8GQqsOY</v>
      </c>
      <c r="AQ333" s="83" t="str">
        <f>HYPERLINK("https://msha.ke/naterciamanuela")</f>
        <v>https://msha.ke/naterciamanuela</v>
      </c>
      <c r="AR333" s="76" t="s">
        <v>7188</v>
      </c>
      <c r="AS333" s="83" t="str">
        <f>HYPERLINK("https://t.co/reJ8GQqsOY")</f>
        <v>https://t.co/reJ8GQqsOY</v>
      </c>
      <c r="AT333" s="83" t="str">
        <f>HYPERLINK("https://msha.ke/naterciamanuela")</f>
        <v>https://msha.ke/naterciamanuela</v>
      </c>
      <c r="AU333" s="76" t="s">
        <v>7188</v>
      </c>
      <c r="AV333" s="76"/>
      <c r="AW333" s="83" t="str">
        <f>HYPERLINK("https://t.co/reJ8GQqsOY")</f>
        <v>https://t.co/reJ8GQqsOY</v>
      </c>
      <c r="AX333" s="76" t="b">
        <v>0</v>
      </c>
      <c r="AY333" s="76"/>
      <c r="AZ333" s="76"/>
      <c r="BA333" s="76" t="b">
        <v>0</v>
      </c>
      <c r="BB333" s="76" t="b">
        <v>1</v>
      </c>
      <c r="BC333" s="76" t="b">
        <v>1</v>
      </c>
      <c r="BD333" s="76" t="b">
        <v>0</v>
      </c>
      <c r="BE333" s="76" t="b">
        <v>0</v>
      </c>
      <c r="BF333" s="76" t="b">
        <v>0</v>
      </c>
      <c r="BG333" s="76" t="b">
        <v>0</v>
      </c>
      <c r="BH333" s="76"/>
      <c r="BI333" s="76"/>
      <c r="BJ333" s="76" t="s">
        <v>7245</v>
      </c>
      <c r="BK333" s="76" t="b">
        <v>0</v>
      </c>
      <c r="BL333" s="76"/>
      <c r="BM333" s="76" t="s">
        <v>66</v>
      </c>
      <c r="BN333" s="76" t="s">
        <v>7247</v>
      </c>
      <c r="BO333" s="83" t="str">
        <f>HYPERLINK("https://twitter.com/naterciamanuel1")</f>
        <v>https://twitter.com/naterciamanuel1</v>
      </c>
      <c r="BP333" s="2"/>
    </row>
    <row r="334" spans="1:68" x14ac:dyDescent="0.25">
      <c r="A334" s="62" t="s">
        <v>538</v>
      </c>
      <c r="B334" s="63"/>
      <c r="C334" s="63"/>
      <c r="D334" s="64"/>
      <c r="E334" s="66"/>
      <c r="F334" s="102" t="str">
        <f>HYPERLINK("https://pbs.twimg.com/profile_images/1615467282494328832/K7FOScng_normal.jpg")</f>
        <v>https://pbs.twimg.com/profile_images/1615467282494328832/K7FOScng_normal.jpg</v>
      </c>
      <c r="G334" s="63"/>
      <c r="H334" s="67"/>
      <c r="I334" s="68"/>
      <c r="J334" s="68"/>
      <c r="K334" s="67" t="s">
        <v>7578</v>
      </c>
      <c r="L334" s="71"/>
      <c r="M334" s="72"/>
      <c r="N334" s="72"/>
      <c r="O334" s="73"/>
      <c r="P334" s="74"/>
      <c r="Q334" s="74"/>
      <c r="R334" s="86"/>
      <c r="S334" s="86"/>
      <c r="T334" s="86"/>
      <c r="U334" s="86"/>
      <c r="V334" s="48"/>
      <c r="W334" s="48"/>
      <c r="X334" s="48"/>
      <c r="Y334" s="48"/>
      <c r="Z334" s="47"/>
      <c r="AA334" s="69">
        <v>334</v>
      </c>
      <c r="AB334" s="69"/>
      <c r="AC334" s="70"/>
      <c r="AD334" s="76" t="s">
        <v>6455</v>
      </c>
      <c r="AE334" s="81" t="s">
        <v>6077</v>
      </c>
      <c r="AF334" s="76">
        <v>2549</v>
      </c>
      <c r="AG334" s="76">
        <v>2896</v>
      </c>
      <c r="AH334" s="76">
        <v>15258</v>
      </c>
      <c r="AI334" s="76">
        <v>22</v>
      </c>
      <c r="AJ334" s="76">
        <v>54970</v>
      </c>
      <c r="AK334" s="76">
        <v>1454</v>
      </c>
      <c r="AL334" s="76" t="b">
        <v>0</v>
      </c>
      <c r="AM334" s="78">
        <v>44177.737337962964</v>
      </c>
      <c r="AN334" s="76" t="s">
        <v>6579</v>
      </c>
      <c r="AO334" s="76" t="s">
        <v>6972</v>
      </c>
      <c r="AP334" s="83" t="str">
        <f>HYPERLINK("https://t.co/jRIcjRUBI4")</f>
        <v>https://t.co/jRIcjRUBI4</v>
      </c>
      <c r="AQ334" s="83" t="str">
        <f>HYPERLINK("https://twitter.com/i/communities/1518630012747984896")</f>
        <v>https://twitter.com/i/communities/1518630012747984896</v>
      </c>
      <c r="AR334" s="76" t="s">
        <v>7189</v>
      </c>
      <c r="AS334" s="76"/>
      <c r="AT334" s="76"/>
      <c r="AU334" s="76"/>
      <c r="AV334" s="76"/>
      <c r="AW334" s="83" t="str">
        <f>HYPERLINK("https://t.co/jRIcjRUBI4")</f>
        <v>https://t.co/jRIcjRUBI4</v>
      </c>
      <c r="AX334" s="76" t="b">
        <v>0</v>
      </c>
      <c r="AY334" s="76"/>
      <c r="AZ334" s="76"/>
      <c r="BA334" s="76" t="b">
        <v>0</v>
      </c>
      <c r="BB334" s="76" t="b">
        <v>0</v>
      </c>
      <c r="BC334" s="76" t="b">
        <v>1</v>
      </c>
      <c r="BD334" s="76" t="b">
        <v>0</v>
      </c>
      <c r="BE334" s="76" t="b">
        <v>1</v>
      </c>
      <c r="BF334" s="76" t="b">
        <v>0</v>
      </c>
      <c r="BG334" s="76" t="b">
        <v>0</v>
      </c>
      <c r="BH334" s="83" t="str">
        <f>HYPERLINK("https://pbs.twimg.com/profile_banners/1337814857987608578/1668962191")</f>
        <v>https://pbs.twimg.com/profile_banners/1337814857987608578/1668962191</v>
      </c>
      <c r="BI334" s="76"/>
      <c r="BJ334" s="76" t="s">
        <v>7245</v>
      </c>
      <c r="BK334" s="76" t="b">
        <v>0</v>
      </c>
      <c r="BL334" s="76"/>
      <c r="BM334" s="76" t="s">
        <v>66</v>
      </c>
      <c r="BN334" s="76" t="s">
        <v>7247</v>
      </c>
      <c r="BO334" s="83" t="str">
        <f>HYPERLINK("https://twitter.com/miguelrr_crypto")</f>
        <v>https://twitter.com/miguelrr_crypto</v>
      </c>
      <c r="BP334" s="2"/>
    </row>
    <row r="335" spans="1:68" x14ac:dyDescent="0.25">
      <c r="A335" s="62" t="s">
        <v>539</v>
      </c>
      <c r="B335" s="63"/>
      <c r="C335" s="63"/>
      <c r="D335" s="64"/>
      <c r="E335" s="66"/>
      <c r="F335" s="102" t="str">
        <f>HYPERLINK("https://pbs.twimg.com/profile_images/1576278018435284995/1pd6ks2u_normal.jpg")</f>
        <v>https://pbs.twimg.com/profile_images/1576278018435284995/1pd6ks2u_normal.jpg</v>
      </c>
      <c r="G335" s="63"/>
      <c r="H335" s="67"/>
      <c r="I335" s="68"/>
      <c r="J335" s="68"/>
      <c r="K335" s="67" t="s">
        <v>7579</v>
      </c>
      <c r="L335" s="71"/>
      <c r="M335" s="72"/>
      <c r="N335" s="72"/>
      <c r="O335" s="73"/>
      <c r="P335" s="74"/>
      <c r="Q335" s="74"/>
      <c r="R335" s="86"/>
      <c r="S335" s="86"/>
      <c r="T335" s="86"/>
      <c r="U335" s="86"/>
      <c r="V335" s="48"/>
      <c r="W335" s="48"/>
      <c r="X335" s="48"/>
      <c r="Y335" s="48"/>
      <c r="Z335" s="47"/>
      <c r="AA335" s="69">
        <v>335</v>
      </c>
      <c r="AB335" s="69"/>
      <c r="AC335" s="70"/>
      <c r="AD335" s="76" t="s">
        <v>6456</v>
      </c>
      <c r="AE335" s="81" t="s">
        <v>6078</v>
      </c>
      <c r="AF335" s="76">
        <v>0</v>
      </c>
      <c r="AG335" s="76">
        <v>16</v>
      </c>
      <c r="AH335" s="76">
        <v>31</v>
      </c>
      <c r="AI335" s="76">
        <v>0</v>
      </c>
      <c r="AJ335" s="76">
        <v>7</v>
      </c>
      <c r="AK335" s="76">
        <v>27</v>
      </c>
      <c r="AL335" s="76" t="b">
        <v>0</v>
      </c>
      <c r="AM335" s="78">
        <v>44835.770127314812</v>
      </c>
      <c r="AN335" s="76"/>
      <c r="AO335" s="76"/>
      <c r="AP335" s="76"/>
      <c r="AQ335" s="76"/>
      <c r="AR335" s="76"/>
      <c r="AS335" s="76"/>
      <c r="AT335" s="76"/>
      <c r="AU335" s="76"/>
      <c r="AV335" s="76"/>
      <c r="AW335" s="76"/>
      <c r="AX335" s="76" t="b">
        <v>0</v>
      </c>
      <c r="AY335" s="76"/>
      <c r="AZ335" s="76"/>
      <c r="BA335" s="76" t="b">
        <v>0</v>
      </c>
      <c r="BB335" s="76" t="b">
        <v>1</v>
      </c>
      <c r="BC335" s="76" t="b">
        <v>1</v>
      </c>
      <c r="BD335" s="76" t="b">
        <v>0</v>
      </c>
      <c r="BE335" s="76" t="b">
        <v>0</v>
      </c>
      <c r="BF335" s="76" t="b">
        <v>0</v>
      </c>
      <c r="BG335" s="76" t="b">
        <v>0</v>
      </c>
      <c r="BH335" s="76"/>
      <c r="BI335" s="76"/>
      <c r="BJ335" s="76" t="s">
        <v>7245</v>
      </c>
      <c r="BK335" s="76" t="b">
        <v>0</v>
      </c>
      <c r="BL335" s="76"/>
      <c r="BM335" s="76" t="s">
        <v>66</v>
      </c>
      <c r="BN335" s="76" t="s">
        <v>7247</v>
      </c>
      <c r="BO335" s="83" t="str">
        <f>HYPERLINK("https://twitter.com/luciane51047000")</f>
        <v>https://twitter.com/luciane51047000</v>
      </c>
      <c r="BP335" s="2"/>
    </row>
    <row r="336" spans="1:68" x14ac:dyDescent="0.25">
      <c r="A336" s="62" t="s">
        <v>540</v>
      </c>
      <c r="B336" s="63"/>
      <c r="C336" s="63"/>
      <c r="D336" s="64"/>
      <c r="E336" s="66"/>
      <c r="F336" s="102" t="str">
        <f>HYPERLINK("https://pbs.twimg.com/profile_images/1663080749443043331/z_TjDu9s_normal.jpg")</f>
        <v>https://pbs.twimg.com/profile_images/1663080749443043331/z_TjDu9s_normal.jpg</v>
      </c>
      <c r="G336" s="63"/>
      <c r="H336" s="67"/>
      <c r="I336" s="68"/>
      <c r="J336" s="68"/>
      <c r="K336" s="67" t="s">
        <v>7580</v>
      </c>
      <c r="L336" s="71"/>
      <c r="M336" s="72"/>
      <c r="N336" s="72"/>
      <c r="O336" s="73"/>
      <c r="P336" s="74"/>
      <c r="Q336" s="74"/>
      <c r="R336" s="86"/>
      <c r="S336" s="86"/>
      <c r="T336" s="86"/>
      <c r="U336" s="86"/>
      <c r="V336" s="48"/>
      <c r="W336" s="48"/>
      <c r="X336" s="48"/>
      <c r="Y336" s="48"/>
      <c r="Z336" s="47"/>
      <c r="AA336" s="69">
        <v>336</v>
      </c>
      <c r="AB336" s="69"/>
      <c r="AC336" s="70"/>
      <c r="AD336" s="76" t="s">
        <v>6457</v>
      </c>
      <c r="AE336" s="81" t="s">
        <v>6079</v>
      </c>
      <c r="AF336" s="76">
        <v>2007</v>
      </c>
      <c r="AG336" s="76">
        <v>2108</v>
      </c>
      <c r="AH336" s="76">
        <v>2278</v>
      </c>
      <c r="AI336" s="76">
        <v>0</v>
      </c>
      <c r="AJ336" s="76">
        <v>4577</v>
      </c>
      <c r="AK336" s="76">
        <v>414</v>
      </c>
      <c r="AL336" s="76" t="b">
        <v>0</v>
      </c>
      <c r="AM336" s="78">
        <v>43564.164525462962</v>
      </c>
      <c r="AN336" s="76" t="s">
        <v>3760</v>
      </c>
      <c r="AO336" s="76" t="s">
        <v>6973</v>
      </c>
      <c r="AP336" s="83" t="str">
        <f>HYPERLINK("https://t.co/01jRtK4D9Y")</f>
        <v>https://t.co/01jRtK4D9Y</v>
      </c>
      <c r="AQ336" s="83" t="str">
        <f>HYPERLINK("https://instagram.com/rosangelamarques_official")</f>
        <v>https://instagram.com/rosangelamarques_official</v>
      </c>
      <c r="AR336" s="76" t="s">
        <v>7190</v>
      </c>
      <c r="AS336" s="76"/>
      <c r="AT336" s="76"/>
      <c r="AU336" s="76"/>
      <c r="AV336" s="76">
        <v>1.3981207112947899E+18</v>
      </c>
      <c r="AW336" s="83" t="str">
        <f>HYPERLINK("https://t.co/01jRtK4D9Y")</f>
        <v>https://t.co/01jRtK4D9Y</v>
      </c>
      <c r="AX336" s="76" t="b">
        <v>0</v>
      </c>
      <c r="AY336" s="76"/>
      <c r="AZ336" s="76"/>
      <c r="BA336" s="76" t="b">
        <v>1</v>
      </c>
      <c r="BB336" s="76" t="b">
        <v>1</v>
      </c>
      <c r="BC336" s="76" t="b">
        <v>1</v>
      </c>
      <c r="BD336" s="76" t="b">
        <v>0</v>
      </c>
      <c r="BE336" s="76" t="b">
        <v>1</v>
      </c>
      <c r="BF336" s="76" t="b">
        <v>0</v>
      </c>
      <c r="BG336" s="76" t="b">
        <v>0</v>
      </c>
      <c r="BH336" s="83" t="str">
        <f>HYPERLINK("https://pbs.twimg.com/profile_banners/1115463576066646017/1681967025")</f>
        <v>https://pbs.twimg.com/profile_banners/1115463576066646017/1681967025</v>
      </c>
      <c r="BI336" s="76"/>
      <c r="BJ336" s="76" t="s">
        <v>7245</v>
      </c>
      <c r="BK336" s="76" t="b">
        <v>0</v>
      </c>
      <c r="BL336" s="76"/>
      <c r="BM336" s="76" t="s">
        <v>66</v>
      </c>
      <c r="BN336" s="76" t="s">
        <v>7247</v>
      </c>
      <c r="BO336" s="83" t="str">
        <f>HYPERLINK("https://twitter.com/rosangela_marq")</f>
        <v>https://twitter.com/rosangela_marq</v>
      </c>
      <c r="BP336" s="2"/>
    </row>
    <row r="337" spans="1:68" x14ac:dyDescent="0.25">
      <c r="A337" s="62" t="s">
        <v>541</v>
      </c>
      <c r="B337" s="63"/>
      <c r="C337" s="63"/>
      <c r="D337" s="64"/>
      <c r="E337" s="66"/>
      <c r="F337" s="102" t="str">
        <f>HYPERLINK("https://pbs.twimg.com/profile_images/1595465759035211778/gwp3Mwa9_normal.jpg")</f>
        <v>https://pbs.twimg.com/profile_images/1595465759035211778/gwp3Mwa9_normal.jpg</v>
      </c>
      <c r="G337" s="63"/>
      <c r="H337" s="67"/>
      <c r="I337" s="68"/>
      <c r="J337" s="68"/>
      <c r="K337" s="67" t="s">
        <v>7581</v>
      </c>
      <c r="L337" s="71"/>
      <c r="M337" s="72"/>
      <c r="N337" s="72"/>
      <c r="O337" s="73"/>
      <c r="P337" s="74"/>
      <c r="Q337" s="74"/>
      <c r="R337" s="86"/>
      <c r="S337" s="86"/>
      <c r="T337" s="86"/>
      <c r="U337" s="86"/>
      <c r="V337" s="48"/>
      <c r="W337" s="48"/>
      <c r="X337" s="48"/>
      <c r="Y337" s="48"/>
      <c r="Z337" s="47"/>
      <c r="AA337" s="69">
        <v>337</v>
      </c>
      <c r="AB337" s="69"/>
      <c r="AC337" s="70"/>
      <c r="AD337" s="76" t="s">
        <v>6458</v>
      </c>
      <c r="AE337" s="81" t="s">
        <v>5611</v>
      </c>
      <c r="AF337" s="76">
        <v>98</v>
      </c>
      <c r="AG337" s="76">
        <v>14</v>
      </c>
      <c r="AH337" s="76">
        <v>94</v>
      </c>
      <c r="AI337" s="76">
        <v>0</v>
      </c>
      <c r="AJ337" s="76">
        <v>17</v>
      </c>
      <c r="AK337" s="76">
        <v>72</v>
      </c>
      <c r="AL337" s="76" t="b">
        <v>0</v>
      </c>
      <c r="AM337" s="78">
        <v>44595.443298611113</v>
      </c>
      <c r="AN337" s="76"/>
      <c r="AO337" s="76" t="s">
        <v>6974</v>
      </c>
      <c r="AP337" s="76"/>
      <c r="AQ337" s="76"/>
      <c r="AR337" s="76"/>
      <c r="AS337" s="83" t="str">
        <f>HYPERLINK("https://t.co/WkCFrvKI1k")</f>
        <v>https://t.co/WkCFrvKI1k</v>
      </c>
      <c r="AT337" s="83" t="str">
        <f>HYPERLINK("http://bit.ly/3yKMszL")</f>
        <v>http://bit.ly/3yKMszL</v>
      </c>
      <c r="AU337" s="76" t="s">
        <v>7243</v>
      </c>
      <c r="AV337" s="76">
        <v>1.59552772974258E+18</v>
      </c>
      <c r="AW337" s="76"/>
      <c r="AX337" s="76" t="b">
        <v>0</v>
      </c>
      <c r="AY337" s="76"/>
      <c r="AZ337" s="76"/>
      <c r="BA337" s="76" t="b">
        <v>0</v>
      </c>
      <c r="BB337" s="76" t="b">
        <v>1</v>
      </c>
      <c r="BC337" s="76" t="b">
        <v>1</v>
      </c>
      <c r="BD337" s="76" t="b">
        <v>0</v>
      </c>
      <c r="BE337" s="76" t="b">
        <v>0</v>
      </c>
      <c r="BF337" s="76" t="b">
        <v>0</v>
      </c>
      <c r="BG337" s="76" t="b">
        <v>0</v>
      </c>
      <c r="BH337" s="83" t="str">
        <f>HYPERLINK("https://pbs.twimg.com/profile_banners/1489186316495503361/1669223398")</f>
        <v>https://pbs.twimg.com/profile_banners/1489186316495503361/1669223398</v>
      </c>
      <c r="BI337" s="76"/>
      <c r="BJ337" s="76" t="s">
        <v>7245</v>
      </c>
      <c r="BK337" s="76" t="b">
        <v>0</v>
      </c>
      <c r="BL337" s="76"/>
      <c r="BM337" s="76" t="s">
        <v>66</v>
      </c>
      <c r="BN337" s="76" t="s">
        <v>7247</v>
      </c>
      <c r="BO337" s="83" t="str">
        <f>HYPERLINK("https://twitter.com/conciergebtc")</f>
        <v>https://twitter.com/conciergebtc</v>
      </c>
      <c r="BP337" s="2"/>
    </row>
    <row r="338" spans="1:68" x14ac:dyDescent="0.25">
      <c r="A338" s="62" t="s">
        <v>542</v>
      </c>
      <c r="B338" s="63"/>
      <c r="C338" s="63"/>
      <c r="D338" s="64"/>
      <c r="E338" s="66"/>
      <c r="F338" s="102" t="str">
        <f>HYPERLINK("https://pbs.twimg.com/profile_images/782964612539019264/rp814j8a_normal.jpg")</f>
        <v>https://pbs.twimg.com/profile_images/782964612539019264/rp814j8a_normal.jpg</v>
      </c>
      <c r="G338" s="63"/>
      <c r="H338" s="67"/>
      <c r="I338" s="68"/>
      <c r="J338" s="68"/>
      <c r="K338" s="67" t="s">
        <v>7582</v>
      </c>
      <c r="L338" s="71"/>
      <c r="M338" s="72"/>
      <c r="N338" s="72"/>
      <c r="O338" s="73"/>
      <c r="P338" s="74"/>
      <c r="Q338" s="74"/>
      <c r="R338" s="86"/>
      <c r="S338" s="86"/>
      <c r="T338" s="86"/>
      <c r="U338" s="86"/>
      <c r="V338" s="48"/>
      <c r="W338" s="48"/>
      <c r="X338" s="48"/>
      <c r="Y338" s="48"/>
      <c r="Z338" s="47"/>
      <c r="AA338" s="69">
        <v>338</v>
      </c>
      <c r="AB338" s="69"/>
      <c r="AC338" s="70"/>
      <c r="AD338" s="76" t="s">
        <v>6459</v>
      </c>
      <c r="AE338" s="81" t="s">
        <v>6080</v>
      </c>
      <c r="AF338" s="76">
        <v>18740</v>
      </c>
      <c r="AG338" s="76">
        <v>20559</v>
      </c>
      <c r="AH338" s="76">
        <v>513053</v>
      </c>
      <c r="AI338" s="76">
        <v>40</v>
      </c>
      <c r="AJ338" s="76">
        <v>227408</v>
      </c>
      <c r="AK338" s="76">
        <v>130337</v>
      </c>
      <c r="AL338" s="76" t="b">
        <v>0</v>
      </c>
      <c r="AM338" s="78">
        <v>42646.634652777779</v>
      </c>
      <c r="AN338" s="76" t="s">
        <v>6666</v>
      </c>
      <c r="AO338" s="76" t="s">
        <v>6975</v>
      </c>
      <c r="AP338" s="83" t="str">
        <f>HYPERLINK("https://t.co/qopO5P7bxb")</f>
        <v>https://t.co/qopO5P7bxb</v>
      </c>
      <c r="AQ338" s="83" t="str">
        <f>HYPERLINK("http://www.economiapersonal.com.ar/")</f>
        <v>http://www.economiapersonal.com.ar/</v>
      </c>
      <c r="AR338" s="76" t="s">
        <v>7191</v>
      </c>
      <c r="AS338" s="76"/>
      <c r="AT338" s="76"/>
      <c r="AU338" s="76"/>
      <c r="AV338" s="76">
        <v>9.2317964676562099E+17</v>
      </c>
      <c r="AW338" s="83" t="str">
        <f>HYPERLINK("https://t.co/qopO5P7bxb")</f>
        <v>https://t.co/qopO5P7bxb</v>
      </c>
      <c r="AX338" s="76" t="b">
        <v>0</v>
      </c>
      <c r="AY338" s="76"/>
      <c r="AZ338" s="76"/>
      <c r="BA338" s="76" t="b">
        <v>0</v>
      </c>
      <c r="BB338" s="76" t="b">
        <v>0</v>
      </c>
      <c r="BC338" s="76" t="b">
        <v>1</v>
      </c>
      <c r="BD338" s="76" t="b">
        <v>0</v>
      </c>
      <c r="BE338" s="76" t="b">
        <v>1</v>
      </c>
      <c r="BF338" s="76" t="b">
        <v>0</v>
      </c>
      <c r="BG338" s="76" t="b">
        <v>0</v>
      </c>
      <c r="BH338" s="83" t="str">
        <f>HYPERLINK("https://pbs.twimg.com/profile_banners/782961882634280960/1480365700")</f>
        <v>https://pbs.twimg.com/profile_banners/782961882634280960/1480365700</v>
      </c>
      <c r="BI338" s="76"/>
      <c r="BJ338" s="76" t="s">
        <v>7245</v>
      </c>
      <c r="BK338" s="76" t="b">
        <v>0</v>
      </c>
      <c r="BL338" s="76"/>
      <c r="BM338" s="76" t="s">
        <v>66</v>
      </c>
      <c r="BN338" s="76" t="s">
        <v>7247</v>
      </c>
      <c r="BO338" s="83" t="str">
        <f>HYPERLINK("https://twitter.com/gustavoipadilla")</f>
        <v>https://twitter.com/gustavoipadilla</v>
      </c>
      <c r="BP338" s="2"/>
    </row>
    <row r="339" spans="1:68" x14ac:dyDescent="0.25">
      <c r="A339" s="62" t="s">
        <v>543</v>
      </c>
      <c r="B339" s="63"/>
      <c r="C339" s="63"/>
      <c r="D339" s="64"/>
      <c r="E339" s="66"/>
      <c r="F339" s="102" t="str">
        <f>HYPERLINK("https://pbs.twimg.com/profile_images/1557115329800798209/Fr2-6cQt_normal.jpg")</f>
        <v>https://pbs.twimg.com/profile_images/1557115329800798209/Fr2-6cQt_normal.jpg</v>
      </c>
      <c r="G339" s="63"/>
      <c r="H339" s="67"/>
      <c r="I339" s="68"/>
      <c r="J339" s="68"/>
      <c r="K339" s="67" t="s">
        <v>7583</v>
      </c>
      <c r="L339" s="71"/>
      <c r="M339" s="72"/>
      <c r="N339" s="72"/>
      <c r="O339" s="73"/>
      <c r="P339" s="74"/>
      <c r="Q339" s="74"/>
      <c r="R339" s="86"/>
      <c r="S339" s="86"/>
      <c r="T339" s="86"/>
      <c r="U339" s="86"/>
      <c r="V339" s="48"/>
      <c r="W339" s="48"/>
      <c r="X339" s="48"/>
      <c r="Y339" s="48"/>
      <c r="Z339" s="47"/>
      <c r="AA339" s="69">
        <v>339</v>
      </c>
      <c r="AB339" s="69"/>
      <c r="AC339" s="70"/>
      <c r="AD339" s="76" t="s">
        <v>6460</v>
      </c>
      <c r="AE339" s="81" t="s">
        <v>6081</v>
      </c>
      <c r="AF339" s="76">
        <v>24</v>
      </c>
      <c r="AG339" s="76">
        <v>531</v>
      </c>
      <c r="AH339" s="76">
        <v>27</v>
      </c>
      <c r="AI339" s="76">
        <v>2</v>
      </c>
      <c r="AJ339" s="76">
        <v>3230</v>
      </c>
      <c r="AK339" s="76">
        <v>2</v>
      </c>
      <c r="AL339" s="76" t="b">
        <v>0</v>
      </c>
      <c r="AM339" s="78">
        <v>43431.57304398148</v>
      </c>
      <c r="AN339" s="76"/>
      <c r="AO339" s="76" t="s">
        <v>6976</v>
      </c>
      <c r="AP339" s="76"/>
      <c r="AQ339" s="76"/>
      <c r="AR339" s="76"/>
      <c r="AS339" s="76"/>
      <c r="AT339" s="76"/>
      <c r="AU339" s="76"/>
      <c r="AV339" s="76"/>
      <c r="AW339" s="76"/>
      <c r="AX339" s="76" t="b">
        <v>0</v>
      </c>
      <c r="AY339" s="76"/>
      <c r="AZ339" s="76"/>
      <c r="BA339" s="76" t="b">
        <v>0</v>
      </c>
      <c r="BB339" s="76" t="b">
        <v>0</v>
      </c>
      <c r="BC339" s="76" t="b">
        <v>1</v>
      </c>
      <c r="BD339" s="76" t="b">
        <v>0</v>
      </c>
      <c r="BE339" s="76" t="b">
        <v>1</v>
      </c>
      <c r="BF339" s="76" t="b">
        <v>0</v>
      </c>
      <c r="BG339" s="76" t="b">
        <v>0</v>
      </c>
      <c r="BH339" s="83" t="str">
        <f>HYPERLINK("https://pbs.twimg.com/profile_banners/1067414029537341446/1660080237")</f>
        <v>https://pbs.twimg.com/profile_banners/1067414029537341446/1660080237</v>
      </c>
      <c r="BI339" s="76"/>
      <c r="BJ339" s="76" t="s">
        <v>7245</v>
      </c>
      <c r="BK339" s="76" t="b">
        <v>0</v>
      </c>
      <c r="BL339" s="76"/>
      <c r="BM339" s="76" t="s">
        <v>66</v>
      </c>
      <c r="BN339" s="76" t="s">
        <v>7247</v>
      </c>
      <c r="BO339" s="83" t="str">
        <f>HYPERLINK("https://twitter.com/carlosraldi")</f>
        <v>https://twitter.com/carlosraldi</v>
      </c>
      <c r="BP339" s="2"/>
    </row>
    <row r="340" spans="1:68" x14ac:dyDescent="0.25">
      <c r="A340" s="62" t="s">
        <v>544</v>
      </c>
      <c r="B340" s="63"/>
      <c r="C340" s="63"/>
      <c r="D340" s="64"/>
      <c r="E340" s="66"/>
      <c r="F340" s="102" t="str">
        <f>HYPERLINK("https://pbs.twimg.com/profile_images/1704850574251048961/AknV3Mfs_normal.jpg")</f>
        <v>https://pbs.twimg.com/profile_images/1704850574251048961/AknV3Mfs_normal.jpg</v>
      </c>
      <c r="G340" s="63"/>
      <c r="H340" s="67"/>
      <c r="I340" s="68"/>
      <c r="J340" s="68"/>
      <c r="K340" s="67" t="s">
        <v>7584</v>
      </c>
      <c r="L340" s="71"/>
      <c r="M340" s="72"/>
      <c r="N340" s="72"/>
      <c r="O340" s="73"/>
      <c r="P340" s="74"/>
      <c r="Q340" s="74"/>
      <c r="R340" s="86"/>
      <c r="S340" s="86"/>
      <c r="T340" s="86"/>
      <c r="U340" s="86"/>
      <c r="V340" s="48"/>
      <c r="W340" s="48"/>
      <c r="X340" s="48"/>
      <c r="Y340" s="48"/>
      <c r="Z340" s="47"/>
      <c r="AA340" s="69">
        <v>340</v>
      </c>
      <c r="AB340" s="69"/>
      <c r="AC340" s="70"/>
      <c r="AD340" s="76" t="s">
        <v>6461</v>
      </c>
      <c r="AE340" s="81" t="s">
        <v>6082</v>
      </c>
      <c r="AF340" s="76">
        <v>12</v>
      </c>
      <c r="AG340" s="76">
        <v>1</v>
      </c>
      <c r="AH340" s="76">
        <v>127</v>
      </c>
      <c r="AI340" s="76">
        <v>0</v>
      </c>
      <c r="AJ340" s="76">
        <v>7</v>
      </c>
      <c r="AK340" s="76">
        <v>127</v>
      </c>
      <c r="AL340" s="76" t="b">
        <v>0</v>
      </c>
      <c r="AM340" s="78">
        <v>44699.774398148147</v>
      </c>
      <c r="AN340" s="76" t="s">
        <v>3760</v>
      </c>
      <c r="AO340" s="76" t="s">
        <v>6977</v>
      </c>
      <c r="AP340" s="83" t="str">
        <f>HYPERLINK("https://t.co/68FGKEQyef")</f>
        <v>https://t.co/68FGKEQyef</v>
      </c>
      <c r="AQ340" s="83" t="str">
        <f>HYPERLINK("http://evoyconsorcios.com.br")</f>
        <v>http://evoyconsorcios.com.br</v>
      </c>
      <c r="AR340" s="76" t="s">
        <v>7192</v>
      </c>
      <c r="AS340" s="76"/>
      <c r="AT340" s="76"/>
      <c r="AU340" s="76"/>
      <c r="AV340" s="76"/>
      <c r="AW340" s="83" t="str">
        <f>HYPERLINK("https://t.co/68FGKEQyef")</f>
        <v>https://t.co/68FGKEQyef</v>
      </c>
      <c r="AX340" s="76" t="b">
        <v>0</v>
      </c>
      <c r="AY340" s="76"/>
      <c r="AZ340" s="76"/>
      <c r="BA340" s="76" t="b">
        <v>0</v>
      </c>
      <c r="BB340" s="76" t="b">
        <v>1</v>
      </c>
      <c r="BC340" s="76" t="b">
        <v>1</v>
      </c>
      <c r="BD340" s="76" t="b">
        <v>0</v>
      </c>
      <c r="BE340" s="76" t="b">
        <v>0</v>
      </c>
      <c r="BF340" s="76" t="b">
        <v>0</v>
      </c>
      <c r="BG340" s="76" t="b">
        <v>0</v>
      </c>
      <c r="BH340" s="83" t="str">
        <f>HYPERLINK("https://pbs.twimg.com/profile_banners/1526994674782814208/1652900117")</f>
        <v>https://pbs.twimg.com/profile_banners/1526994674782814208/1652900117</v>
      </c>
      <c r="BI340" s="76"/>
      <c r="BJ340" s="76" t="s">
        <v>7245</v>
      </c>
      <c r="BK340" s="76" t="b">
        <v>0</v>
      </c>
      <c r="BL340" s="76"/>
      <c r="BM340" s="76" t="s">
        <v>66</v>
      </c>
      <c r="BN340" s="76" t="s">
        <v>7247</v>
      </c>
      <c r="BO340" s="83" t="str">
        <f>HYPERLINK("https://twitter.com/evoyconsorcios")</f>
        <v>https://twitter.com/evoyconsorcios</v>
      </c>
      <c r="BP340" s="2"/>
    </row>
    <row r="341" spans="1:68" x14ac:dyDescent="0.25">
      <c r="A341" s="62" t="s">
        <v>545</v>
      </c>
      <c r="B341" s="63"/>
      <c r="C341" s="63"/>
      <c r="D341" s="64"/>
      <c r="E341" s="66"/>
      <c r="F341" s="102" t="str">
        <f>HYPERLINK("https://pbs.twimg.com/profile_images/1674215241222176770/IN39U-VN_normal.png")</f>
        <v>https://pbs.twimg.com/profile_images/1674215241222176770/IN39U-VN_normal.png</v>
      </c>
      <c r="G341" s="63"/>
      <c r="H341" s="67"/>
      <c r="I341" s="68"/>
      <c r="J341" s="68"/>
      <c r="K341" s="67" t="s">
        <v>7585</v>
      </c>
      <c r="L341" s="71"/>
      <c r="M341" s="72"/>
      <c r="N341" s="72"/>
      <c r="O341" s="73"/>
      <c r="P341" s="74"/>
      <c r="Q341" s="74"/>
      <c r="R341" s="86"/>
      <c r="S341" s="86"/>
      <c r="T341" s="86"/>
      <c r="U341" s="86"/>
      <c r="V341" s="48"/>
      <c r="W341" s="48"/>
      <c r="X341" s="48"/>
      <c r="Y341" s="48"/>
      <c r="Z341" s="47"/>
      <c r="AA341" s="69">
        <v>341</v>
      </c>
      <c r="AB341" s="69"/>
      <c r="AC341" s="70"/>
      <c r="AD341" s="76" t="s">
        <v>6462</v>
      </c>
      <c r="AE341" s="81" t="s">
        <v>6083</v>
      </c>
      <c r="AF341" s="76">
        <v>2</v>
      </c>
      <c r="AG341" s="76">
        <v>9</v>
      </c>
      <c r="AH341" s="76">
        <v>222</v>
      </c>
      <c r="AI341" s="76">
        <v>0</v>
      </c>
      <c r="AJ341" s="76">
        <v>0</v>
      </c>
      <c r="AK341" s="76">
        <v>114</v>
      </c>
      <c r="AL341" s="76" t="b">
        <v>0</v>
      </c>
      <c r="AM341" s="78">
        <v>45106.025381944448</v>
      </c>
      <c r="AN341" s="76" t="s">
        <v>3752</v>
      </c>
      <c r="AO341" s="76" t="s">
        <v>6978</v>
      </c>
      <c r="AP341" s="83" t="str">
        <f>HYPERLINK("https://t.co/u7zKQVTosV")</f>
        <v>https://t.co/u7zKQVTosV</v>
      </c>
      <c r="AQ341" s="83" t="str">
        <f>HYPERLINK("https://instagram.com/achadinhosdaallexia?igshid=MzNlNGNkZWQ4Mg==")</f>
        <v>https://instagram.com/achadinhosdaallexia?igshid=MzNlNGNkZWQ4Mg==</v>
      </c>
      <c r="AR341" s="76" t="s">
        <v>7193</v>
      </c>
      <c r="AS341" s="76"/>
      <c r="AT341" s="76"/>
      <c r="AU341" s="76"/>
      <c r="AV341" s="76"/>
      <c r="AW341" s="83" t="str">
        <f>HYPERLINK("https://t.co/u7zKQVTosV")</f>
        <v>https://t.co/u7zKQVTosV</v>
      </c>
      <c r="AX341" s="76" t="b">
        <v>0</v>
      </c>
      <c r="AY341" s="76"/>
      <c r="AZ341" s="76"/>
      <c r="BA341" s="76" t="b">
        <v>0</v>
      </c>
      <c r="BB341" s="76" t="b">
        <v>1</v>
      </c>
      <c r="BC341" s="76" t="b">
        <v>1</v>
      </c>
      <c r="BD341" s="76" t="b">
        <v>0</v>
      </c>
      <c r="BE341" s="76" t="b">
        <v>0</v>
      </c>
      <c r="BF341" s="76" t="b">
        <v>0</v>
      </c>
      <c r="BG341" s="76" t="b">
        <v>0</v>
      </c>
      <c r="BH341" s="76"/>
      <c r="BI341" s="76"/>
      <c r="BJ341" s="76" t="s">
        <v>7245</v>
      </c>
      <c r="BK341" s="76" t="b">
        <v>0</v>
      </c>
      <c r="BL341" s="76"/>
      <c r="BM341" s="76" t="s">
        <v>66</v>
      </c>
      <c r="BN341" s="76" t="s">
        <v>7247</v>
      </c>
      <c r="BO341" s="83" t="str">
        <f>HYPERLINK("https://twitter.com/achadinhosdaall")</f>
        <v>https://twitter.com/achadinhosdaall</v>
      </c>
      <c r="BP341" s="2"/>
    </row>
    <row r="342" spans="1:68" x14ac:dyDescent="0.25">
      <c r="A342" s="62" t="s">
        <v>546</v>
      </c>
      <c r="B342" s="63"/>
      <c r="C342" s="63"/>
      <c r="D342" s="64"/>
      <c r="E342" s="66"/>
      <c r="F342" s="102" t="str">
        <f>HYPERLINK("https://pbs.twimg.com/profile_images/1686339808979795968/X4qgjWHf_normal.jpg")</f>
        <v>https://pbs.twimg.com/profile_images/1686339808979795968/X4qgjWHf_normal.jpg</v>
      </c>
      <c r="G342" s="63"/>
      <c r="H342" s="67"/>
      <c r="I342" s="68"/>
      <c r="J342" s="68"/>
      <c r="K342" s="67" t="s">
        <v>7586</v>
      </c>
      <c r="L342" s="71"/>
      <c r="M342" s="72"/>
      <c r="N342" s="72"/>
      <c r="O342" s="73"/>
      <c r="P342" s="74"/>
      <c r="Q342" s="74"/>
      <c r="R342" s="86"/>
      <c r="S342" s="86"/>
      <c r="T342" s="86"/>
      <c r="U342" s="86"/>
      <c r="V342" s="48"/>
      <c r="W342" s="48"/>
      <c r="X342" s="48"/>
      <c r="Y342" s="48"/>
      <c r="Z342" s="47"/>
      <c r="AA342" s="69">
        <v>342</v>
      </c>
      <c r="AB342" s="69"/>
      <c r="AC342" s="70"/>
      <c r="AD342" s="76" t="s">
        <v>6463</v>
      </c>
      <c r="AE342" s="81" t="s">
        <v>5612</v>
      </c>
      <c r="AF342" s="76">
        <v>0</v>
      </c>
      <c r="AG342" s="76">
        <v>4</v>
      </c>
      <c r="AH342" s="76">
        <v>5</v>
      </c>
      <c r="AI342" s="76">
        <v>0</v>
      </c>
      <c r="AJ342" s="76">
        <v>1</v>
      </c>
      <c r="AK342" s="76">
        <v>2</v>
      </c>
      <c r="AL342" s="76" t="b">
        <v>0</v>
      </c>
      <c r="AM342" s="78">
        <v>45139.482812499999</v>
      </c>
      <c r="AN342" s="76"/>
      <c r="AO342" s="76"/>
      <c r="AP342" s="76"/>
      <c r="AQ342" s="76"/>
      <c r="AR342" s="76"/>
      <c r="AS342" s="76"/>
      <c r="AT342" s="76"/>
      <c r="AU342" s="76"/>
      <c r="AV342" s="76"/>
      <c r="AW342" s="76"/>
      <c r="AX342" s="76" t="b">
        <v>0</v>
      </c>
      <c r="AY342" s="76"/>
      <c r="AZ342" s="76"/>
      <c r="BA342" s="76" t="b">
        <v>0</v>
      </c>
      <c r="BB342" s="76" t="b">
        <v>1</v>
      </c>
      <c r="BC342" s="76" t="b">
        <v>1</v>
      </c>
      <c r="BD342" s="76" t="b">
        <v>0</v>
      </c>
      <c r="BE342" s="76" t="b">
        <v>0</v>
      </c>
      <c r="BF342" s="76" t="b">
        <v>0</v>
      </c>
      <c r="BG342" s="76" t="b">
        <v>0</v>
      </c>
      <c r="BH342" s="76"/>
      <c r="BI342" s="76"/>
      <c r="BJ342" s="76" t="s">
        <v>7245</v>
      </c>
      <c r="BK342" s="76" t="b">
        <v>0</v>
      </c>
      <c r="BL342" s="76"/>
      <c r="BM342" s="76" t="s">
        <v>66</v>
      </c>
      <c r="BN342" s="76" t="s">
        <v>7247</v>
      </c>
      <c r="BO342" s="83" t="str">
        <f>HYPERLINK("https://twitter.com/bynessantos")</f>
        <v>https://twitter.com/bynessantos</v>
      </c>
      <c r="BP342" s="2"/>
    </row>
    <row r="343" spans="1:68" x14ac:dyDescent="0.25">
      <c r="A343" s="62" t="s">
        <v>547</v>
      </c>
      <c r="B343" s="63"/>
      <c r="C343" s="63"/>
      <c r="D343" s="64"/>
      <c r="E343" s="66"/>
      <c r="F343" s="102" t="str">
        <f>HYPERLINK("https://pbs.twimg.com/profile_images/1622351174132240384/Fr6eh-0Y_normal.jpg")</f>
        <v>https://pbs.twimg.com/profile_images/1622351174132240384/Fr6eh-0Y_normal.jpg</v>
      </c>
      <c r="G343" s="63"/>
      <c r="H343" s="67"/>
      <c r="I343" s="68"/>
      <c r="J343" s="68"/>
      <c r="K343" s="67" t="s">
        <v>7587</v>
      </c>
      <c r="L343" s="71"/>
      <c r="M343" s="72"/>
      <c r="N343" s="72"/>
      <c r="O343" s="73"/>
      <c r="P343" s="74"/>
      <c r="Q343" s="74"/>
      <c r="R343" s="86"/>
      <c r="S343" s="86"/>
      <c r="T343" s="86"/>
      <c r="U343" s="86"/>
      <c r="V343" s="48"/>
      <c r="W343" s="48"/>
      <c r="X343" s="48"/>
      <c r="Y343" s="48"/>
      <c r="Z343" s="47"/>
      <c r="AA343" s="69">
        <v>343</v>
      </c>
      <c r="AB343" s="69"/>
      <c r="AC343" s="70"/>
      <c r="AD343" s="76" t="s">
        <v>6464</v>
      </c>
      <c r="AE343" s="81" t="s">
        <v>6084</v>
      </c>
      <c r="AF343" s="76">
        <v>20</v>
      </c>
      <c r="AG343" s="76">
        <v>24</v>
      </c>
      <c r="AH343" s="76">
        <v>58</v>
      </c>
      <c r="AI343" s="76">
        <v>0</v>
      </c>
      <c r="AJ343" s="76">
        <v>73</v>
      </c>
      <c r="AK343" s="76">
        <v>43</v>
      </c>
      <c r="AL343" s="76" t="b">
        <v>0</v>
      </c>
      <c r="AM343" s="78">
        <v>44962.906018518515</v>
      </c>
      <c r="AN343" s="76"/>
      <c r="AO343" s="76" t="s">
        <v>6979</v>
      </c>
      <c r="AP343" s="76"/>
      <c r="AQ343" s="76"/>
      <c r="AR343" s="76"/>
      <c r="AS343" s="76" t="s">
        <v>7210</v>
      </c>
      <c r="AT343" s="76" t="s">
        <v>7217</v>
      </c>
      <c r="AU343" s="76" t="s">
        <v>7244</v>
      </c>
      <c r="AV343" s="76"/>
      <c r="AW343" s="76"/>
      <c r="AX343" s="76" t="b">
        <v>0</v>
      </c>
      <c r="AY343" s="76"/>
      <c r="AZ343" s="76"/>
      <c r="BA343" s="76" t="b">
        <v>0</v>
      </c>
      <c r="BB343" s="76" t="b">
        <v>1</v>
      </c>
      <c r="BC343" s="76" t="b">
        <v>1</v>
      </c>
      <c r="BD343" s="76" t="b">
        <v>0</v>
      </c>
      <c r="BE343" s="76" t="b">
        <v>0</v>
      </c>
      <c r="BF343" s="76" t="b">
        <v>0</v>
      </c>
      <c r="BG343" s="76" t="b">
        <v>0</v>
      </c>
      <c r="BH343" s="83" t="str">
        <f>HYPERLINK("https://pbs.twimg.com/profile_banners/1622350462459469825/1675633617")</f>
        <v>https://pbs.twimg.com/profile_banners/1622350462459469825/1675633617</v>
      </c>
      <c r="BI343" s="76"/>
      <c r="BJ343" s="76" t="s">
        <v>7245</v>
      </c>
      <c r="BK343" s="76" t="b">
        <v>0</v>
      </c>
      <c r="BL343" s="76"/>
      <c r="BM343" s="76" t="s">
        <v>66</v>
      </c>
      <c r="BN343" s="76" t="s">
        <v>7247</v>
      </c>
      <c r="BO343" s="83" t="str">
        <f>HYPERLINK("https://twitter.com/afonteuniversal")</f>
        <v>https://twitter.com/afonteuniversal</v>
      </c>
      <c r="BP343" s="2"/>
    </row>
    <row r="344" spans="1:68" x14ac:dyDescent="0.25">
      <c r="A344" s="62" t="s">
        <v>548</v>
      </c>
      <c r="B344" s="63"/>
      <c r="C344" s="63"/>
      <c r="D344" s="64"/>
      <c r="E344" s="66"/>
      <c r="F344" s="102" t="str">
        <f>HYPERLINK("https://pbs.twimg.com/profile_images/1689797296597155840/vPpm0iCl_normal.png")</f>
        <v>https://pbs.twimg.com/profile_images/1689797296597155840/vPpm0iCl_normal.png</v>
      </c>
      <c r="G344" s="63"/>
      <c r="H344" s="67"/>
      <c r="I344" s="68"/>
      <c r="J344" s="68"/>
      <c r="K344" s="67" t="s">
        <v>7588</v>
      </c>
      <c r="L344" s="71"/>
      <c r="M344" s="72"/>
      <c r="N344" s="72"/>
      <c r="O344" s="73"/>
      <c r="P344" s="74"/>
      <c r="Q344" s="74"/>
      <c r="R344" s="86"/>
      <c r="S344" s="86"/>
      <c r="T344" s="86"/>
      <c r="U344" s="86"/>
      <c r="V344" s="48"/>
      <c r="W344" s="48"/>
      <c r="X344" s="48"/>
      <c r="Y344" s="48"/>
      <c r="Z344" s="47"/>
      <c r="AA344" s="69">
        <v>344</v>
      </c>
      <c r="AB344" s="69"/>
      <c r="AC344" s="70"/>
      <c r="AD344" s="76" t="s">
        <v>6465</v>
      </c>
      <c r="AE344" s="81" t="s">
        <v>6552</v>
      </c>
      <c r="AF344" s="76">
        <v>103</v>
      </c>
      <c r="AG344" s="76">
        <v>509</v>
      </c>
      <c r="AH344" s="76">
        <v>381</v>
      </c>
      <c r="AI344" s="76">
        <v>0</v>
      </c>
      <c r="AJ344" s="76">
        <v>578</v>
      </c>
      <c r="AK344" s="76">
        <v>46</v>
      </c>
      <c r="AL344" s="76" t="b">
        <v>0</v>
      </c>
      <c r="AM344" s="78">
        <v>40572.975925925923</v>
      </c>
      <c r="AN344" s="76" t="s">
        <v>6667</v>
      </c>
      <c r="AO344" s="76" t="s">
        <v>6980</v>
      </c>
      <c r="AP344" s="83" t="str">
        <f>HYPERLINK("https://t.co/KOhfjLFUv6")</f>
        <v>https://t.co/KOhfjLFUv6</v>
      </c>
      <c r="AQ344" s="83" t="str">
        <f>HYPERLINK("https://duduhrosa13.my.canva.site/")</f>
        <v>https://duduhrosa13.my.canva.site/</v>
      </c>
      <c r="AR344" s="76" t="s">
        <v>7194</v>
      </c>
      <c r="AS344" s="76"/>
      <c r="AT344" s="76"/>
      <c r="AU344" s="76"/>
      <c r="AV344" s="76"/>
      <c r="AW344" s="83" t="str">
        <f>HYPERLINK("https://t.co/KOhfjLFUv6")</f>
        <v>https://t.co/KOhfjLFUv6</v>
      </c>
      <c r="AX344" s="76" t="b">
        <v>0</v>
      </c>
      <c r="AY344" s="76"/>
      <c r="AZ344" s="76"/>
      <c r="BA344" s="76" t="b">
        <v>1</v>
      </c>
      <c r="BB344" s="76" t="b">
        <v>0</v>
      </c>
      <c r="BC344" s="76" t="b">
        <v>0</v>
      </c>
      <c r="BD344" s="76" t="b">
        <v>0</v>
      </c>
      <c r="BE344" s="76" t="b">
        <v>0</v>
      </c>
      <c r="BF344" s="76" t="b">
        <v>0</v>
      </c>
      <c r="BG344" s="76" t="b">
        <v>0</v>
      </c>
      <c r="BH344" s="83" t="str">
        <f>HYPERLINK("https://pbs.twimg.com/profile_banners/244707852/1685298575")</f>
        <v>https://pbs.twimg.com/profile_banners/244707852/1685298575</v>
      </c>
      <c r="BI344" s="76"/>
      <c r="BJ344" s="76" t="s">
        <v>7245</v>
      </c>
      <c r="BK344" s="76" t="b">
        <v>0</v>
      </c>
      <c r="BL344" s="76"/>
      <c r="BM344" s="76" t="s">
        <v>66</v>
      </c>
      <c r="BN344" s="76" t="s">
        <v>7247</v>
      </c>
      <c r="BO344" s="83" t="str">
        <f>HYPERLINK("https://twitter.com/duduhrosa13")</f>
        <v>https://twitter.com/duduhrosa13</v>
      </c>
      <c r="BP344" s="2"/>
    </row>
    <row r="345" spans="1:68" x14ac:dyDescent="0.25">
      <c r="A345" s="62" t="s">
        <v>549</v>
      </c>
      <c r="B345" s="63"/>
      <c r="C345" s="63"/>
      <c r="D345" s="64"/>
      <c r="E345" s="66"/>
      <c r="F345" s="102" t="str">
        <f>HYPERLINK("https://pbs.twimg.com/profile_images/1683263869643259904/q3q5Jhke_normal.jpg")</f>
        <v>https://pbs.twimg.com/profile_images/1683263869643259904/q3q5Jhke_normal.jpg</v>
      </c>
      <c r="G345" s="63"/>
      <c r="H345" s="67"/>
      <c r="I345" s="68"/>
      <c r="J345" s="68"/>
      <c r="K345" s="67" t="s">
        <v>7589</v>
      </c>
      <c r="L345" s="71"/>
      <c r="M345" s="72"/>
      <c r="N345" s="72"/>
      <c r="O345" s="73"/>
      <c r="P345" s="74"/>
      <c r="Q345" s="74"/>
      <c r="R345" s="86"/>
      <c r="S345" s="86"/>
      <c r="T345" s="86"/>
      <c r="U345" s="86"/>
      <c r="V345" s="48"/>
      <c r="W345" s="48"/>
      <c r="X345" s="48"/>
      <c r="Y345" s="48"/>
      <c r="Z345" s="47"/>
      <c r="AA345" s="69">
        <v>345</v>
      </c>
      <c r="AB345" s="69"/>
      <c r="AC345" s="70"/>
      <c r="AD345" s="76" t="s">
        <v>6466</v>
      </c>
      <c r="AE345" s="81" t="s">
        <v>6553</v>
      </c>
      <c r="AF345" s="76">
        <v>22</v>
      </c>
      <c r="AG345" s="76">
        <v>46</v>
      </c>
      <c r="AH345" s="76">
        <v>121</v>
      </c>
      <c r="AI345" s="76">
        <v>1</v>
      </c>
      <c r="AJ345" s="76">
        <v>11</v>
      </c>
      <c r="AK345" s="76">
        <v>17</v>
      </c>
      <c r="AL345" s="76" t="b">
        <v>0</v>
      </c>
      <c r="AM345" s="78">
        <v>40156.644942129627</v>
      </c>
      <c r="AN345" s="76" t="s">
        <v>6668</v>
      </c>
      <c r="AO345" s="76" t="s">
        <v>6981</v>
      </c>
      <c r="AP345" s="83" t="str">
        <f>HYPERLINK("https://t.co/LjQdE0mVkZ")</f>
        <v>https://t.co/LjQdE0mVkZ</v>
      </c>
      <c r="AQ345" s="83" t="str">
        <f>HYPERLINK("http://mabcontabil.com.br")</f>
        <v>http://mabcontabil.com.br</v>
      </c>
      <c r="AR345" s="76" t="s">
        <v>7195</v>
      </c>
      <c r="AS345" s="76"/>
      <c r="AT345" s="76"/>
      <c r="AU345" s="76"/>
      <c r="AV345" s="76"/>
      <c r="AW345" s="83" t="str">
        <f>HYPERLINK("https://t.co/LjQdE0mVkZ")</f>
        <v>https://t.co/LjQdE0mVkZ</v>
      </c>
      <c r="AX345" s="76" t="b">
        <v>0</v>
      </c>
      <c r="AY345" s="76"/>
      <c r="AZ345" s="76"/>
      <c r="BA345" s="76" t="b">
        <v>0</v>
      </c>
      <c r="BB345" s="76" t="b">
        <v>1</v>
      </c>
      <c r="BC345" s="76" t="b">
        <v>0</v>
      </c>
      <c r="BD345" s="76" t="b">
        <v>0</v>
      </c>
      <c r="BE345" s="76" t="b">
        <v>1</v>
      </c>
      <c r="BF345" s="76" t="b">
        <v>0</v>
      </c>
      <c r="BG345" s="76" t="b">
        <v>0</v>
      </c>
      <c r="BH345" s="83" t="str">
        <f>HYPERLINK("https://pbs.twimg.com/profile_banners/95668137/1421279008")</f>
        <v>https://pbs.twimg.com/profile_banners/95668137/1421279008</v>
      </c>
      <c r="BI345" s="76"/>
      <c r="BJ345" s="76" t="s">
        <v>7245</v>
      </c>
      <c r="BK345" s="76" t="b">
        <v>0</v>
      </c>
      <c r="BL345" s="76"/>
      <c r="BM345" s="76" t="s">
        <v>66</v>
      </c>
      <c r="BN345" s="76" t="s">
        <v>7247</v>
      </c>
      <c r="BO345" s="83" t="str">
        <f>HYPERLINK("https://twitter.com/marcos_b_39")</f>
        <v>https://twitter.com/marcos_b_39</v>
      </c>
      <c r="BP345" s="2"/>
    </row>
    <row r="346" spans="1:68" x14ac:dyDescent="0.25">
      <c r="A346" s="62" t="s">
        <v>550</v>
      </c>
      <c r="B346" s="63"/>
      <c r="C346" s="63"/>
      <c r="D346" s="64"/>
      <c r="E346" s="66"/>
      <c r="F346" s="102" t="str">
        <f>HYPERLINK("https://pbs.twimg.com/profile_images/1517820485064867842/hG9izvPU_normal.jpg")</f>
        <v>https://pbs.twimg.com/profile_images/1517820485064867842/hG9izvPU_normal.jpg</v>
      </c>
      <c r="G346" s="63"/>
      <c r="H346" s="67"/>
      <c r="I346" s="68"/>
      <c r="J346" s="68"/>
      <c r="K346" s="67" t="s">
        <v>7590</v>
      </c>
      <c r="L346" s="71"/>
      <c r="M346" s="72"/>
      <c r="N346" s="72"/>
      <c r="O346" s="73"/>
      <c r="P346" s="74"/>
      <c r="Q346" s="74"/>
      <c r="R346" s="86"/>
      <c r="S346" s="86"/>
      <c r="T346" s="86"/>
      <c r="U346" s="86"/>
      <c r="V346" s="48"/>
      <c r="W346" s="48"/>
      <c r="X346" s="48"/>
      <c r="Y346" s="48"/>
      <c r="Z346" s="47"/>
      <c r="AA346" s="69">
        <v>346</v>
      </c>
      <c r="AB346" s="69"/>
      <c r="AC346" s="70"/>
      <c r="AD346" s="76" t="s">
        <v>6467</v>
      </c>
      <c r="AE346" s="81" t="s">
        <v>6085</v>
      </c>
      <c r="AF346" s="76">
        <v>394</v>
      </c>
      <c r="AG346" s="76">
        <v>3</v>
      </c>
      <c r="AH346" s="76">
        <v>12927</v>
      </c>
      <c r="AI346" s="76">
        <v>4</v>
      </c>
      <c r="AJ346" s="76">
        <v>135</v>
      </c>
      <c r="AK346" s="76">
        <v>1855</v>
      </c>
      <c r="AL346" s="76" t="b">
        <v>0</v>
      </c>
      <c r="AM346" s="78">
        <v>42594.446342592593</v>
      </c>
      <c r="AN346" s="76" t="s">
        <v>6669</v>
      </c>
      <c r="AO346" s="76"/>
      <c r="AP346" s="83" t="str">
        <f>HYPERLINK("https://t.co/pOb4jJWEUK")</f>
        <v>https://t.co/pOb4jJWEUK</v>
      </c>
      <c r="AQ346" s="83" t="str">
        <f>HYPERLINK("http://www.holisticinvestment.in")</f>
        <v>http://www.holisticinvestment.in</v>
      </c>
      <c r="AR346" s="76" t="s">
        <v>6467</v>
      </c>
      <c r="AS346" s="76"/>
      <c r="AT346" s="76"/>
      <c r="AU346" s="76"/>
      <c r="AV346" s="76"/>
      <c r="AW346" s="83" t="str">
        <f>HYPERLINK("https://t.co/pOb4jJWEUK")</f>
        <v>https://t.co/pOb4jJWEUK</v>
      </c>
      <c r="AX346" s="76" t="b">
        <v>0</v>
      </c>
      <c r="AY346" s="76"/>
      <c r="AZ346" s="76"/>
      <c r="BA346" s="76" t="b">
        <v>1</v>
      </c>
      <c r="BB346" s="76" t="b">
        <v>1</v>
      </c>
      <c r="BC346" s="76" t="b">
        <v>0</v>
      </c>
      <c r="BD346" s="76" t="b">
        <v>0</v>
      </c>
      <c r="BE346" s="76" t="b">
        <v>1</v>
      </c>
      <c r="BF346" s="76" t="b">
        <v>0</v>
      </c>
      <c r="BG346" s="76" t="b">
        <v>0</v>
      </c>
      <c r="BH346" s="83" t="str">
        <f>HYPERLINK("https://pbs.twimg.com/profile_banners/764049471151886336/1552737947")</f>
        <v>https://pbs.twimg.com/profile_banners/764049471151886336/1552737947</v>
      </c>
      <c r="BI346" s="76"/>
      <c r="BJ346" s="76" t="s">
        <v>7245</v>
      </c>
      <c r="BK346" s="76" t="b">
        <v>0</v>
      </c>
      <c r="BL346" s="76"/>
      <c r="BM346" s="76" t="s">
        <v>66</v>
      </c>
      <c r="BN346" s="76" t="s">
        <v>7247</v>
      </c>
      <c r="BO346" s="83" t="str">
        <f>HYPERLINK("https://twitter.com/holistic_invest")</f>
        <v>https://twitter.com/holistic_invest</v>
      </c>
      <c r="BP346" s="2"/>
    </row>
    <row r="347" spans="1:68" x14ac:dyDescent="0.25">
      <c r="A347" s="62" t="s">
        <v>551</v>
      </c>
      <c r="B347" s="63"/>
      <c r="C347" s="63"/>
      <c r="D347" s="64"/>
      <c r="E347" s="66"/>
      <c r="F347" s="102" t="str">
        <f>HYPERLINK("https://pbs.twimg.com/profile_images/1460727419829116929/1hfB_OTD_normal.jpg")</f>
        <v>https://pbs.twimg.com/profile_images/1460727419829116929/1hfB_OTD_normal.jpg</v>
      </c>
      <c r="G347" s="63"/>
      <c r="H347" s="67"/>
      <c r="I347" s="68"/>
      <c r="J347" s="68"/>
      <c r="K347" s="67" t="s">
        <v>7591</v>
      </c>
      <c r="L347" s="71"/>
      <c r="M347" s="72"/>
      <c r="N347" s="72"/>
      <c r="O347" s="73"/>
      <c r="P347" s="74"/>
      <c r="Q347" s="74"/>
      <c r="R347" s="86"/>
      <c r="S347" s="86"/>
      <c r="T347" s="86"/>
      <c r="U347" s="86"/>
      <c r="V347" s="48"/>
      <c r="W347" s="48"/>
      <c r="X347" s="48"/>
      <c r="Y347" s="48"/>
      <c r="Z347" s="47"/>
      <c r="AA347" s="69">
        <v>347</v>
      </c>
      <c r="AB347" s="69"/>
      <c r="AC347" s="70"/>
      <c r="AD347" s="76" t="s">
        <v>6468</v>
      </c>
      <c r="AE347" s="81" t="s">
        <v>5613</v>
      </c>
      <c r="AF347" s="76">
        <v>126</v>
      </c>
      <c r="AG347" s="76">
        <v>77</v>
      </c>
      <c r="AH347" s="76">
        <v>3107</v>
      </c>
      <c r="AI347" s="76">
        <v>1</v>
      </c>
      <c r="AJ347" s="76">
        <v>824</v>
      </c>
      <c r="AK347" s="76">
        <v>1361</v>
      </c>
      <c r="AL347" s="76" t="b">
        <v>0</v>
      </c>
      <c r="AM347" s="78">
        <v>44337.031539351854</v>
      </c>
      <c r="AN347" s="76"/>
      <c r="AO347" s="76" t="s">
        <v>6982</v>
      </c>
      <c r="AP347" s="76"/>
      <c r="AQ347" s="76"/>
      <c r="AR347" s="76"/>
      <c r="AS347" s="76"/>
      <c r="AT347" s="76"/>
      <c r="AU347" s="76"/>
      <c r="AV347" s="76"/>
      <c r="AW347" s="76"/>
      <c r="AX347" s="76" t="b">
        <v>0</v>
      </c>
      <c r="AY347" s="76"/>
      <c r="AZ347" s="76"/>
      <c r="BA347" s="76" t="b">
        <v>0</v>
      </c>
      <c r="BB347" s="76" t="b">
        <v>1</v>
      </c>
      <c r="BC347" s="76" t="b">
        <v>1</v>
      </c>
      <c r="BD347" s="76" t="b">
        <v>0</v>
      </c>
      <c r="BE347" s="76" t="b">
        <v>1</v>
      </c>
      <c r="BF347" s="76" t="b">
        <v>0</v>
      </c>
      <c r="BG347" s="76" t="b">
        <v>0</v>
      </c>
      <c r="BH347" s="76"/>
      <c r="BI347" s="76"/>
      <c r="BJ347" s="76" t="s">
        <v>7245</v>
      </c>
      <c r="BK347" s="76" t="b">
        <v>0</v>
      </c>
      <c r="BL347" s="76"/>
      <c r="BM347" s="76" t="s">
        <v>66</v>
      </c>
      <c r="BN347" s="76" t="s">
        <v>7247</v>
      </c>
      <c r="BO347" s="83" t="str">
        <f>HYPERLINK("https://twitter.com/rafael__costa__")</f>
        <v>https://twitter.com/rafael__costa__</v>
      </c>
      <c r="BP347" s="2"/>
    </row>
    <row r="348" spans="1:68" x14ac:dyDescent="0.25">
      <c r="A348" s="62" t="s">
        <v>552</v>
      </c>
      <c r="B348" s="63"/>
      <c r="C348" s="63"/>
      <c r="D348" s="64"/>
      <c r="E348" s="66"/>
      <c r="F348" s="102" t="str">
        <f>HYPERLINK("https://pbs.twimg.com/profile_images/1696373051355496448/znjLMd_w_normal.jpg")</f>
        <v>https://pbs.twimg.com/profile_images/1696373051355496448/znjLMd_w_normal.jpg</v>
      </c>
      <c r="G348" s="63"/>
      <c r="H348" s="67"/>
      <c r="I348" s="68"/>
      <c r="J348" s="68"/>
      <c r="K348" s="67" t="s">
        <v>7592</v>
      </c>
      <c r="L348" s="71"/>
      <c r="M348" s="72"/>
      <c r="N348" s="72"/>
      <c r="O348" s="73"/>
      <c r="P348" s="74"/>
      <c r="Q348" s="74"/>
      <c r="R348" s="86"/>
      <c r="S348" s="86"/>
      <c r="T348" s="86"/>
      <c r="U348" s="86"/>
      <c r="V348" s="48"/>
      <c r="W348" s="48"/>
      <c r="X348" s="48"/>
      <c r="Y348" s="48"/>
      <c r="Z348" s="47"/>
      <c r="AA348" s="69">
        <v>348</v>
      </c>
      <c r="AB348" s="69"/>
      <c r="AC348" s="70"/>
      <c r="AD348" s="76" t="s">
        <v>6469</v>
      </c>
      <c r="AE348" s="81" t="s">
        <v>6086</v>
      </c>
      <c r="AF348" s="76">
        <v>9</v>
      </c>
      <c r="AG348" s="76">
        <v>48</v>
      </c>
      <c r="AH348" s="76">
        <v>121</v>
      </c>
      <c r="AI348" s="76">
        <v>0</v>
      </c>
      <c r="AJ348" s="76">
        <v>119</v>
      </c>
      <c r="AK348" s="76">
        <v>119</v>
      </c>
      <c r="AL348" s="76" t="b">
        <v>0</v>
      </c>
      <c r="AM348" s="78">
        <v>44560.980798611112</v>
      </c>
      <c r="AN348" s="76" t="s">
        <v>6670</v>
      </c>
      <c r="AO348" s="76" t="s">
        <v>6983</v>
      </c>
      <c r="AP348" s="83" t="str">
        <f>HYPERLINK("https://t.co/LmCaRFdsPw")</f>
        <v>https://t.co/LmCaRFdsPw</v>
      </c>
      <c r="AQ348" s="83" t="str">
        <f>HYPERLINK("https://bit.ly/6DConteúdos_bárbarajulia")</f>
        <v>https://bit.ly/6DConteúdos_bárbarajulia</v>
      </c>
      <c r="AR348" s="76" t="s">
        <v>7196</v>
      </c>
      <c r="AS348" s="76"/>
      <c r="AT348" s="76"/>
      <c r="AU348" s="76"/>
      <c r="AV348" s="76"/>
      <c r="AW348" s="83" t="str">
        <f>HYPERLINK("https://t.co/LmCaRFdsPw")</f>
        <v>https://t.co/LmCaRFdsPw</v>
      </c>
      <c r="AX348" s="76" t="b">
        <v>0</v>
      </c>
      <c r="AY348" s="76"/>
      <c r="AZ348" s="76"/>
      <c r="BA348" s="76" t="b">
        <v>0</v>
      </c>
      <c r="BB348" s="76" t="b">
        <v>1</v>
      </c>
      <c r="BC348" s="76" t="b">
        <v>1</v>
      </c>
      <c r="BD348" s="76" t="b">
        <v>0</v>
      </c>
      <c r="BE348" s="76" t="b">
        <v>0</v>
      </c>
      <c r="BF348" s="76" t="b">
        <v>0</v>
      </c>
      <c r="BG348" s="76" t="b">
        <v>1</v>
      </c>
      <c r="BH348" s="83" t="str">
        <f>HYPERLINK("https://pbs.twimg.com/profile_banners/1476696633010270209/1693281848")</f>
        <v>https://pbs.twimg.com/profile_banners/1476696633010270209/1693281848</v>
      </c>
      <c r="BI348" s="76"/>
      <c r="BJ348" s="76" t="s">
        <v>7245</v>
      </c>
      <c r="BK348" s="76" t="b">
        <v>0</v>
      </c>
      <c r="BL348" s="76"/>
      <c r="BM348" s="76" t="s">
        <v>66</v>
      </c>
      <c r="BN348" s="76" t="s">
        <v>7247</v>
      </c>
      <c r="BO348" s="83" t="str">
        <f>HYPERLINK("https://twitter.com/bianobk1bianobk")</f>
        <v>https://twitter.com/bianobk1bianobk</v>
      </c>
      <c r="BP348" s="2"/>
    </row>
    <row r="349" spans="1:68" x14ac:dyDescent="0.25">
      <c r="A349" s="62" t="s">
        <v>553</v>
      </c>
      <c r="B349" s="63"/>
      <c r="C349" s="63"/>
      <c r="D349" s="64"/>
      <c r="E349" s="66"/>
      <c r="F349" s="102" t="str">
        <f>HYPERLINK("https://pbs.twimg.com/profile_images/1496067079459463169/ASRWJbUJ_normal.jpg")</f>
        <v>https://pbs.twimg.com/profile_images/1496067079459463169/ASRWJbUJ_normal.jpg</v>
      </c>
      <c r="G349" s="63"/>
      <c r="H349" s="67"/>
      <c r="I349" s="68"/>
      <c r="J349" s="68"/>
      <c r="K349" s="67" t="s">
        <v>7593</v>
      </c>
      <c r="L349" s="71"/>
      <c r="M349" s="72"/>
      <c r="N349" s="72"/>
      <c r="O349" s="73"/>
      <c r="P349" s="74"/>
      <c r="Q349" s="74"/>
      <c r="R349" s="86"/>
      <c r="S349" s="86"/>
      <c r="T349" s="86"/>
      <c r="U349" s="86"/>
      <c r="V349" s="48"/>
      <c r="W349" s="48"/>
      <c r="X349" s="48"/>
      <c r="Y349" s="48"/>
      <c r="Z349" s="47"/>
      <c r="AA349" s="69">
        <v>349</v>
      </c>
      <c r="AB349" s="69"/>
      <c r="AC349" s="70"/>
      <c r="AD349" s="76" t="s">
        <v>553</v>
      </c>
      <c r="AE349" s="81" t="s">
        <v>6087</v>
      </c>
      <c r="AF349" s="76">
        <v>60</v>
      </c>
      <c r="AG349" s="76">
        <v>7</v>
      </c>
      <c r="AH349" s="76">
        <v>486</v>
      </c>
      <c r="AI349" s="76">
        <v>0</v>
      </c>
      <c r="AJ349" s="76">
        <v>68</v>
      </c>
      <c r="AK349" s="76">
        <v>406</v>
      </c>
      <c r="AL349" s="76" t="b">
        <v>0</v>
      </c>
      <c r="AM349" s="78">
        <v>44613.793761574074</v>
      </c>
      <c r="AN349" s="76" t="s">
        <v>6671</v>
      </c>
      <c r="AO349" s="76" t="s">
        <v>6984</v>
      </c>
      <c r="AP349" s="83" t="str">
        <f>HYPERLINK("https://t.co/F2lqoCgC8l")</f>
        <v>https://t.co/F2lqoCgC8l</v>
      </c>
      <c r="AQ349" s="83" t="str">
        <f>HYPERLINK("https://linktr.ee/byebnk")</f>
        <v>https://linktr.ee/byebnk</v>
      </c>
      <c r="AR349" s="76" t="s">
        <v>7197</v>
      </c>
      <c r="AS349" s="76"/>
      <c r="AT349" s="76"/>
      <c r="AU349" s="76"/>
      <c r="AV349" s="76"/>
      <c r="AW349" s="83" t="str">
        <f>HYPERLINK("https://t.co/F2lqoCgC8l")</f>
        <v>https://t.co/F2lqoCgC8l</v>
      </c>
      <c r="AX349" s="76" t="b">
        <v>0</v>
      </c>
      <c r="AY349" s="76"/>
      <c r="AZ349" s="76"/>
      <c r="BA349" s="76" t="b">
        <v>0</v>
      </c>
      <c r="BB349" s="76" t="b">
        <v>1</v>
      </c>
      <c r="BC349" s="76" t="b">
        <v>1</v>
      </c>
      <c r="BD349" s="76" t="b">
        <v>0</v>
      </c>
      <c r="BE349" s="76" t="b">
        <v>0</v>
      </c>
      <c r="BF349" s="76" t="b">
        <v>0</v>
      </c>
      <c r="BG349" s="76" t="b">
        <v>0</v>
      </c>
      <c r="BH349" s="83" t="str">
        <f>HYPERLINK("https://pbs.twimg.com/profile_banners/1495836411165036545/1656527251")</f>
        <v>https://pbs.twimg.com/profile_banners/1495836411165036545/1656527251</v>
      </c>
      <c r="BI349" s="76"/>
      <c r="BJ349" s="76" t="s">
        <v>7245</v>
      </c>
      <c r="BK349" s="76" t="b">
        <v>0</v>
      </c>
      <c r="BL349" s="76"/>
      <c r="BM349" s="76" t="s">
        <v>66</v>
      </c>
      <c r="BN349" s="76" t="s">
        <v>7247</v>
      </c>
      <c r="BO349" s="83" t="str">
        <f>HYPERLINK("https://twitter.com/byebnk")</f>
        <v>https://twitter.com/byebnk</v>
      </c>
      <c r="BP349" s="2"/>
    </row>
    <row r="350" spans="1:68" x14ac:dyDescent="0.25">
      <c r="A350" s="62" t="s">
        <v>554</v>
      </c>
      <c r="B350" s="63"/>
      <c r="C350" s="63"/>
      <c r="D350" s="64"/>
      <c r="E350" s="66"/>
      <c r="F350" s="102" t="str">
        <f>HYPERLINK("https://pbs.twimg.com/profile_images/1621734737218871297/otoFfeYu_normal.jpg")</f>
        <v>https://pbs.twimg.com/profile_images/1621734737218871297/otoFfeYu_normal.jpg</v>
      </c>
      <c r="G350" s="63"/>
      <c r="H350" s="67"/>
      <c r="I350" s="68"/>
      <c r="J350" s="68"/>
      <c r="K350" s="67" t="s">
        <v>7594</v>
      </c>
      <c r="L350" s="71"/>
      <c r="M350" s="72"/>
      <c r="N350" s="72"/>
      <c r="O350" s="73"/>
      <c r="P350" s="74"/>
      <c r="Q350" s="74"/>
      <c r="R350" s="86"/>
      <c r="S350" s="86"/>
      <c r="T350" s="86"/>
      <c r="U350" s="86"/>
      <c r="V350" s="48"/>
      <c r="W350" s="48"/>
      <c r="X350" s="48"/>
      <c r="Y350" s="48"/>
      <c r="Z350" s="47"/>
      <c r="AA350" s="69">
        <v>350</v>
      </c>
      <c r="AB350" s="69"/>
      <c r="AC350" s="70"/>
      <c r="AD350" s="76" t="s">
        <v>6470</v>
      </c>
      <c r="AE350" s="81" t="s">
        <v>6554</v>
      </c>
      <c r="AF350" s="76">
        <v>7325</v>
      </c>
      <c r="AG350" s="76">
        <v>7616</v>
      </c>
      <c r="AH350" s="76">
        <v>55888</v>
      </c>
      <c r="AI350" s="76">
        <v>5</v>
      </c>
      <c r="AJ350" s="76">
        <v>42907</v>
      </c>
      <c r="AK350" s="76">
        <v>23908</v>
      </c>
      <c r="AL350" s="76" t="b">
        <v>0</v>
      </c>
      <c r="AM350" s="78">
        <v>40119.641053240739</v>
      </c>
      <c r="AN350" s="76" t="s">
        <v>6672</v>
      </c>
      <c r="AO350" s="76" t="s">
        <v>6985</v>
      </c>
      <c r="AP350" s="76"/>
      <c r="AQ350" s="76"/>
      <c r="AR350" s="76"/>
      <c r="AS350" s="76"/>
      <c r="AT350" s="76"/>
      <c r="AU350" s="76"/>
      <c r="AV350" s="76">
        <v>1.68934405519117E+18</v>
      </c>
      <c r="AW350" s="76"/>
      <c r="AX350" s="76" t="b">
        <v>0</v>
      </c>
      <c r="AY350" s="76"/>
      <c r="AZ350" s="76"/>
      <c r="BA350" s="76" t="b">
        <v>0</v>
      </c>
      <c r="BB350" s="76" t="b">
        <v>1</v>
      </c>
      <c r="BC350" s="76" t="b">
        <v>0</v>
      </c>
      <c r="BD350" s="76" t="b">
        <v>0</v>
      </c>
      <c r="BE350" s="76" t="b">
        <v>0</v>
      </c>
      <c r="BF350" s="76" t="b">
        <v>0</v>
      </c>
      <c r="BG350" s="76" t="b">
        <v>0</v>
      </c>
      <c r="BH350" s="83" t="str">
        <f>HYPERLINK("https://pbs.twimg.com/profile_banners/86962550/1675486771")</f>
        <v>https://pbs.twimg.com/profile_banners/86962550/1675486771</v>
      </c>
      <c r="BI350" s="76"/>
      <c r="BJ350" s="76" t="s">
        <v>7245</v>
      </c>
      <c r="BK350" s="76" t="b">
        <v>0</v>
      </c>
      <c r="BL350" s="76"/>
      <c r="BM350" s="76" t="s">
        <v>66</v>
      </c>
      <c r="BN350" s="76" t="s">
        <v>7247</v>
      </c>
      <c r="BO350" s="83" t="str">
        <f>HYPERLINK("https://twitter.com/arrcanjjo")</f>
        <v>https://twitter.com/arrcanjjo</v>
      </c>
      <c r="BP350" s="2"/>
    </row>
    <row r="351" spans="1:68" x14ac:dyDescent="0.25">
      <c r="A351" s="62" t="s">
        <v>555</v>
      </c>
      <c r="B351" s="63"/>
      <c r="C351" s="63"/>
      <c r="D351" s="64"/>
      <c r="E351" s="66"/>
      <c r="F351" s="102" t="str">
        <f>HYPERLINK("https://pbs.twimg.com/profile_images/1394560389283733504/fXVSfDJN_normal.jpg")</f>
        <v>https://pbs.twimg.com/profile_images/1394560389283733504/fXVSfDJN_normal.jpg</v>
      </c>
      <c r="G351" s="63"/>
      <c r="H351" s="67"/>
      <c r="I351" s="68"/>
      <c r="J351" s="68"/>
      <c r="K351" s="67" t="s">
        <v>7595</v>
      </c>
      <c r="L351" s="71"/>
      <c r="M351" s="72"/>
      <c r="N351" s="72"/>
      <c r="O351" s="73"/>
      <c r="P351" s="74"/>
      <c r="Q351" s="74"/>
      <c r="R351" s="86"/>
      <c r="S351" s="86"/>
      <c r="T351" s="86"/>
      <c r="U351" s="86"/>
      <c r="V351" s="48"/>
      <c r="W351" s="48"/>
      <c r="X351" s="48"/>
      <c r="Y351" s="48"/>
      <c r="Z351" s="47"/>
      <c r="AA351" s="69">
        <v>351</v>
      </c>
      <c r="AB351" s="69"/>
      <c r="AC351" s="70"/>
      <c r="AD351" s="76" t="s">
        <v>6471</v>
      </c>
      <c r="AE351" s="81" t="s">
        <v>5614</v>
      </c>
      <c r="AF351" s="76">
        <v>6589</v>
      </c>
      <c r="AG351" s="76">
        <v>304</v>
      </c>
      <c r="AH351" s="76">
        <v>5592</v>
      </c>
      <c r="AI351" s="76">
        <v>77</v>
      </c>
      <c r="AJ351" s="76">
        <v>7861</v>
      </c>
      <c r="AK351" s="76">
        <v>1726</v>
      </c>
      <c r="AL351" s="76" t="b">
        <v>0</v>
      </c>
      <c r="AM351" s="78">
        <v>43816.597442129627</v>
      </c>
      <c r="AN351" s="76"/>
      <c r="AO351" s="76" t="s">
        <v>6986</v>
      </c>
      <c r="AP351" s="83" t="str">
        <f>HYPERLINK("https://t.co/084r2QuYBi")</f>
        <v>https://t.co/084r2QuYBi</v>
      </c>
      <c r="AQ351" s="83" t="str">
        <f>HYPERLINK("https://nousi.finance/workshop-carteira-de-dividendos-em-crypto/")</f>
        <v>https://nousi.finance/workshop-carteira-de-dividendos-em-crypto/</v>
      </c>
      <c r="AR351" s="76" t="s">
        <v>7198</v>
      </c>
      <c r="AS351" s="76"/>
      <c r="AT351" s="76"/>
      <c r="AU351" s="76"/>
      <c r="AV351" s="76"/>
      <c r="AW351" s="83" t="str">
        <f>HYPERLINK("https://t.co/084r2QuYBi")</f>
        <v>https://t.co/084r2QuYBi</v>
      </c>
      <c r="AX351" s="76" t="b">
        <v>1</v>
      </c>
      <c r="AY351" s="76"/>
      <c r="AZ351" s="76"/>
      <c r="BA351" s="76" t="b">
        <v>0</v>
      </c>
      <c r="BB351" s="76" t="b">
        <v>0</v>
      </c>
      <c r="BC351" s="76" t="b">
        <v>1</v>
      </c>
      <c r="BD351" s="76" t="b">
        <v>0</v>
      </c>
      <c r="BE351" s="76" t="b">
        <v>1</v>
      </c>
      <c r="BF351" s="76" t="b">
        <v>0</v>
      </c>
      <c r="BG351" s="76" t="b">
        <v>0</v>
      </c>
      <c r="BH351" s="83" t="str">
        <f>HYPERLINK("https://pbs.twimg.com/profile_banners/1206942103735095296/1673195525")</f>
        <v>https://pbs.twimg.com/profile_banners/1206942103735095296/1673195525</v>
      </c>
      <c r="BI351" s="76"/>
      <c r="BJ351" s="76" t="s">
        <v>7245</v>
      </c>
      <c r="BK351" s="76" t="b">
        <v>0</v>
      </c>
      <c r="BL351" s="76"/>
      <c r="BM351" s="76" t="s">
        <v>66</v>
      </c>
      <c r="BN351" s="76" t="s">
        <v>7247</v>
      </c>
      <c r="BO351" s="83" t="str">
        <f>HYPERLINK("https://twitter.com/andreynousi")</f>
        <v>https://twitter.com/andreynousi</v>
      </c>
      <c r="BP351" s="2"/>
    </row>
    <row r="352" spans="1:68" x14ac:dyDescent="0.25">
      <c r="A352" s="62" t="s">
        <v>556</v>
      </c>
      <c r="B352" s="63"/>
      <c r="C352" s="63"/>
      <c r="D352" s="64"/>
      <c r="E352" s="66"/>
      <c r="F352" s="102" t="str">
        <f>HYPERLINK("https://pbs.twimg.com/profile_images/1665917652403994627/IX6fMfk1_normal.jpg")</f>
        <v>https://pbs.twimg.com/profile_images/1665917652403994627/IX6fMfk1_normal.jpg</v>
      </c>
      <c r="G352" s="63"/>
      <c r="H352" s="67"/>
      <c r="I352" s="68"/>
      <c r="J352" s="68"/>
      <c r="K352" s="67" t="s">
        <v>7596</v>
      </c>
      <c r="L352" s="71"/>
      <c r="M352" s="72"/>
      <c r="N352" s="72"/>
      <c r="O352" s="73"/>
      <c r="P352" s="74"/>
      <c r="Q352" s="74"/>
      <c r="R352" s="86"/>
      <c r="S352" s="86"/>
      <c r="T352" s="86"/>
      <c r="U352" s="86"/>
      <c r="V352" s="48"/>
      <c r="W352" s="48"/>
      <c r="X352" s="48"/>
      <c r="Y352" s="48"/>
      <c r="Z352" s="47"/>
      <c r="AA352" s="69">
        <v>352</v>
      </c>
      <c r="AB352" s="69"/>
      <c r="AC352" s="70"/>
      <c r="AD352" s="76" t="s">
        <v>6472</v>
      </c>
      <c r="AE352" s="81" t="s">
        <v>6088</v>
      </c>
      <c r="AF352" s="76">
        <v>1</v>
      </c>
      <c r="AG352" s="76">
        <v>1</v>
      </c>
      <c r="AH352" s="76">
        <v>21</v>
      </c>
      <c r="AI352" s="76">
        <v>0</v>
      </c>
      <c r="AJ352" s="76">
        <v>0</v>
      </c>
      <c r="AK352" s="76">
        <v>21</v>
      </c>
      <c r="AL352" s="76" t="b">
        <v>0</v>
      </c>
      <c r="AM352" s="78">
        <v>45083.118252314816</v>
      </c>
      <c r="AN352" s="76"/>
      <c r="AO352" s="76" t="s">
        <v>6987</v>
      </c>
      <c r="AP352" s="83" t="str">
        <f>HYPERLINK("https://t.co/32VoKQipSm")</f>
        <v>https://t.co/32VoKQipSm</v>
      </c>
      <c r="AQ352" s="83" t="str">
        <f>HYPERLINK("https://linktr.ee/estantevirtuall")</f>
        <v>https://linktr.ee/estantevirtuall</v>
      </c>
      <c r="AR352" s="76" t="s">
        <v>7199</v>
      </c>
      <c r="AS352" s="76"/>
      <c r="AT352" s="76"/>
      <c r="AU352" s="76"/>
      <c r="AV352" s="76"/>
      <c r="AW352" s="83" t="str">
        <f>HYPERLINK("https://t.co/32VoKQipSm")</f>
        <v>https://t.co/32VoKQipSm</v>
      </c>
      <c r="AX352" s="76" t="b">
        <v>0</v>
      </c>
      <c r="AY352" s="76"/>
      <c r="AZ352" s="76"/>
      <c r="BA352" s="76" t="b">
        <v>0</v>
      </c>
      <c r="BB352" s="76" t="b">
        <v>1</v>
      </c>
      <c r="BC352" s="76" t="b">
        <v>1</v>
      </c>
      <c r="BD352" s="76" t="b">
        <v>0</v>
      </c>
      <c r="BE352" s="76" t="b">
        <v>0</v>
      </c>
      <c r="BF352" s="76" t="b">
        <v>0</v>
      </c>
      <c r="BG352" s="76" t="b">
        <v>0</v>
      </c>
      <c r="BH352" s="83" t="str">
        <f>HYPERLINK("https://pbs.twimg.com/profile_banners/1665913665466368003/1686020694")</f>
        <v>https://pbs.twimg.com/profile_banners/1665913665466368003/1686020694</v>
      </c>
      <c r="BI352" s="76"/>
      <c r="BJ352" s="76" t="s">
        <v>7245</v>
      </c>
      <c r="BK352" s="76" t="b">
        <v>0</v>
      </c>
      <c r="BL352" s="76"/>
      <c r="BM352" s="76" t="s">
        <v>66</v>
      </c>
      <c r="BN352" s="76" t="s">
        <v>7247</v>
      </c>
      <c r="BO352" s="83" t="str">
        <f>HYPERLINK("https://twitter.com/estantevirtuall")</f>
        <v>https://twitter.com/estantevirtuall</v>
      </c>
      <c r="BP352" s="2"/>
    </row>
    <row r="353" spans="1:68" x14ac:dyDescent="0.25">
      <c r="A353" s="62" t="s">
        <v>557</v>
      </c>
      <c r="B353" s="63"/>
      <c r="C353" s="63"/>
      <c r="D353" s="64"/>
      <c r="E353" s="66"/>
      <c r="F353" s="102" t="str">
        <f>HYPERLINK("https://pbs.twimg.com/profile_images/1675262120223490048/OtygCIUw_normal.jpg")</f>
        <v>https://pbs.twimg.com/profile_images/1675262120223490048/OtygCIUw_normal.jpg</v>
      </c>
      <c r="G353" s="63"/>
      <c r="H353" s="67"/>
      <c r="I353" s="68"/>
      <c r="J353" s="68"/>
      <c r="K353" s="67" t="s">
        <v>7597</v>
      </c>
      <c r="L353" s="71"/>
      <c r="M353" s="72"/>
      <c r="N353" s="72"/>
      <c r="O353" s="73"/>
      <c r="P353" s="74"/>
      <c r="Q353" s="74"/>
      <c r="R353" s="86"/>
      <c r="S353" s="86"/>
      <c r="T353" s="86"/>
      <c r="U353" s="86"/>
      <c r="V353" s="48"/>
      <c r="W353" s="48"/>
      <c r="X353" s="48"/>
      <c r="Y353" s="48"/>
      <c r="Z353" s="47"/>
      <c r="AA353" s="69">
        <v>353</v>
      </c>
      <c r="AB353" s="69"/>
      <c r="AC353" s="70"/>
      <c r="AD353" s="76" t="s">
        <v>6473</v>
      </c>
      <c r="AE353" s="81" t="s">
        <v>6089</v>
      </c>
      <c r="AF353" s="76">
        <v>2</v>
      </c>
      <c r="AG353" s="76">
        <v>2</v>
      </c>
      <c r="AH353" s="76">
        <v>8</v>
      </c>
      <c r="AI353" s="76">
        <v>0</v>
      </c>
      <c r="AJ353" s="76">
        <v>9</v>
      </c>
      <c r="AK353" s="76">
        <v>8</v>
      </c>
      <c r="AL353" s="76" t="b">
        <v>0</v>
      </c>
      <c r="AM353" s="78">
        <v>44485.903726851851</v>
      </c>
      <c r="AN353" s="76"/>
      <c r="AO353" s="76" t="s">
        <v>6988</v>
      </c>
      <c r="AP353" s="76"/>
      <c r="AQ353" s="76"/>
      <c r="AR353" s="76"/>
      <c r="AS353" s="76"/>
      <c r="AT353" s="76"/>
      <c r="AU353" s="76"/>
      <c r="AV353" s="76"/>
      <c r="AW353" s="76"/>
      <c r="AX353" s="76" t="b">
        <v>0</v>
      </c>
      <c r="AY353" s="76"/>
      <c r="AZ353" s="76"/>
      <c r="BA353" s="76" t="b">
        <v>0</v>
      </c>
      <c r="BB353" s="76" t="b">
        <v>1</v>
      </c>
      <c r="BC353" s="76" t="b">
        <v>1</v>
      </c>
      <c r="BD353" s="76" t="b">
        <v>0</v>
      </c>
      <c r="BE353" s="76" t="b">
        <v>0</v>
      </c>
      <c r="BF353" s="76" t="b">
        <v>0</v>
      </c>
      <c r="BG353" s="76" t="b">
        <v>0</v>
      </c>
      <c r="BH353" s="83" t="str">
        <f>HYPERLINK("https://pbs.twimg.com/profile_banners/1449490470619463680/1688248589")</f>
        <v>https://pbs.twimg.com/profile_banners/1449490470619463680/1688248589</v>
      </c>
      <c r="BI353" s="76"/>
      <c r="BJ353" s="76" t="s">
        <v>7245</v>
      </c>
      <c r="BK353" s="76" t="b">
        <v>0</v>
      </c>
      <c r="BL353" s="76"/>
      <c r="BM353" s="76" t="s">
        <v>66</v>
      </c>
      <c r="BN353" s="76" t="s">
        <v>7247</v>
      </c>
      <c r="BO353" s="83" t="str">
        <f>HYPERLINK("https://twitter.com/eijhenycristina")</f>
        <v>https://twitter.com/eijhenycristina</v>
      </c>
      <c r="BP353" s="2"/>
    </row>
    <row r="354" spans="1:68" x14ac:dyDescent="0.25">
      <c r="A354" s="62" t="s">
        <v>558</v>
      </c>
      <c r="B354" s="63"/>
      <c r="C354" s="63"/>
      <c r="D354" s="64"/>
      <c r="E354" s="66"/>
      <c r="F354" s="102" t="str">
        <f>HYPERLINK("https://pbs.twimg.com/profile_images/1610692623261470731/y169ydU2_normal.jpg")</f>
        <v>https://pbs.twimg.com/profile_images/1610692623261470731/y169ydU2_normal.jpg</v>
      </c>
      <c r="G354" s="63"/>
      <c r="H354" s="67"/>
      <c r="I354" s="68"/>
      <c r="J354" s="68"/>
      <c r="K354" s="67" t="s">
        <v>7598</v>
      </c>
      <c r="L354" s="71"/>
      <c r="M354" s="72"/>
      <c r="N354" s="72"/>
      <c r="O354" s="73"/>
      <c r="P354" s="74"/>
      <c r="Q354" s="74"/>
      <c r="R354" s="86"/>
      <c r="S354" s="86"/>
      <c r="T354" s="86"/>
      <c r="U354" s="86"/>
      <c r="V354" s="48"/>
      <c r="W354" s="48"/>
      <c r="X354" s="48"/>
      <c r="Y354" s="48"/>
      <c r="Z354" s="47"/>
      <c r="AA354" s="69">
        <v>354</v>
      </c>
      <c r="AB354" s="69"/>
      <c r="AC354" s="70"/>
      <c r="AD354" s="76" t="s">
        <v>6474</v>
      </c>
      <c r="AE354" s="81" t="s">
        <v>6090</v>
      </c>
      <c r="AF354" s="76">
        <v>6</v>
      </c>
      <c r="AG354" s="76">
        <v>36</v>
      </c>
      <c r="AH354" s="76">
        <v>5</v>
      </c>
      <c r="AI354" s="76">
        <v>0</v>
      </c>
      <c r="AJ354" s="76">
        <v>6</v>
      </c>
      <c r="AK354" s="76">
        <v>5</v>
      </c>
      <c r="AL354" s="76" t="b">
        <v>0</v>
      </c>
      <c r="AM354" s="78">
        <v>44930.729594907411</v>
      </c>
      <c r="AN354" s="76" t="s">
        <v>3763</v>
      </c>
      <c r="AO354" s="76" t="s">
        <v>6989</v>
      </c>
      <c r="AP354" s="83" t="str">
        <f>HYPERLINK("https://t.co/6iI7k2rSJt")</f>
        <v>https://t.co/6iI7k2rSJt</v>
      </c>
      <c r="AQ354" s="83" t="str">
        <f>HYPERLINK("http://encr.pw/Pagina-Mestre-do-Marketing")</f>
        <v>http://encr.pw/Pagina-Mestre-do-Marketing</v>
      </c>
      <c r="AR354" s="76" t="s">
        <v>7200</v>
      </c>
      <c r="AS354" s="76"/>
      <c r="AT354" s="76"/>
      <c r="AU354" s="76"/>
      <c r="AV354" s="76"/>
      <c r="AW354" s="83" t="str">
        <f>HYPERLINK("https://t.co/6iI7k2rSJt")</f>
        <v>https://t.co/6iI7k2rSJt</v>
      </c>
      <c r="AX354" s="76" t="b">
        <v>0</v>
      </c>
      <c r="AY354" s="76"/>
      <c r="AZ354" s="76"/>
      <c r="BA354" s="76" t="b">
        <v>0</v>
      </c>
      <c r="BB354" s="76" t="b">
        <v>1</v>
      </c>
      <c r="BC354" s="76" t="b">
        <v>1</v>
      </c>
      <c r="BD354" s="76" t="b">
        <v>0</v>
      </c>
      <c r="BE354" s="76" t="b">
        <v>0</v>
      </c>
      <c r="BF354" s="76" t="b">
        <v>0</v>
      </c>
      <c r="BG354" s="76" t="b">
        <v>0</v>
      </c>
      <c r="BH354" s="83" t="str">
        <f>HYPERLINK("https://pbs.twimg.com/profile_banners/1610689948566392867/1672854021")</f>
        <v>https://pbs.twimg.com/profile_banners/1610689948566392867/1672854021</v>
      </c>
      <c r="BI354" s="76"/>
      <c r="BJ354" s="76" t="s">
        <v>7245</v>
      </c>
      <c r="BK354" s="76" t="b">
        <v>0</v>
      </c>
      <c r="BL354" s="76"/>
      <c r="BM354" s="76" t="s">
        <v>66</v>
      </c>
      <c r="BN354" s="76" t="s">
        <v>7247</v>
      </c>
      <c r="BO354" s="83" t="str">
        <f>HYPERLINK("https://twitter.com/mestremarketlng")</f>
        <v>https://twitter.com/mestremarketlng</v>
      </c>
      <c r="BP354" s="2"/>
    </row>
    <row r="355" spans="1:68" x14ac:dyDescent="0.25">
      <c r="A355" s="62" t="s">
        <v>559</v>
      </c>
      <c r="B355" s="63"/>
      <c r="C355" s="63"/>
      <c r="D355" s="64"/>
      <c r="E355" s="66"/>
      <c r="F355" s="102" t="str">
        <f>HYPERLINK("https://pbs.twimg.com/profile_images/1648621062857392130/PWzogkLU_normal.jpg")</f>
        <v>https://pbs.twimg.com/profile_images/1648621062857392130/PWzogkLU_normal.jpg</v>
      </c>
      <c r="G355" s="63"/>
      <c r="H355" s="67"/>
      <c r="I355" s="68"/>
      <c r="J355" s="68"/>
      <c r="K355" s="67" t="s">
        <v>7599</v>
      </c>
      <c r="L355" s="71"/>
      <c r="M355" s="72"/>
      <c r="N355" s="72"/>
      <c r="O355" s="73"/>
      <c r="P355" s="74"/>
      <c r="Q355" s="74"/>
      <c r="R355" s="86"/>
      <c r="S355" s="86"/>
      <c r="T355" s="86"/>
      <c r="U355" s="86"/>
      <c r="V355" s="48"/>
      <c r="W355" s="48"/>
      <c r="X355" s="48"/>
      <c r="Y355" s="48"/>
      <c r="Z355" s="47"/>
      <c r="AA355" s="69">
        <v>355</v>
      </c>
      <c r="AB355" s="69"/>
      <c r="AC355" s="70"/>
      <c r="AD355" s="76" t="s">
        <v>6475</v>
      </c>
      <c r="AE355" s="81" t="s">
        <v>6555</v>
      </c>
      <c r="AF355" s="76">
        <v>88</v>
      </c>
      <c r="AG355" s="76">
        <v>553</v>
      </c>
      <c r="AH355" s="76">
        <v>274</v>
      </c>
      <c r="AI355" s="76">
        <v>0</v>
      </c>
      <c r="AJ355" s="76">
        <v>371</v>
      </c>
      <c r="AK355" s="76">
        <v>18</v>
      </c>
      <c r="AL355" s="76" t="b">
        <v>0</v>
      </c>
      <c r="AM355" s="78">
        <v>42177.864895833336</v>
      </c>
      <c r="AN355" s="76" t="s">
        <v>3752</v>
      </c>
      <c r="AO355" s="76" t="s">
        <v>6990</v>
      </c>
      <c r="AP355" s="83" t="str">
        <f>HYPERLINK("https://t.co/h0pPtaFfNB")</f>
        <v>https://t.co/h0pPtaFfNB</v>
      </c>
      <c r="AQ355" s="83" t="str">
        <f>HYPERLINK("http://linktr.ee/romero.financas")</f>
        <v>http://linktr.ee/romero.financas</v>
      </c>
      <c r="AR355" s="76" t="s">
        <v>7201</v>
      </c>
      <c r="AS355" s="76"/>
      <c r="AT355" s="76"/>
      <c r="AU355" s="76"/>
      <c r="AV355" s="76"/>
      <c r="AW355" s="83" t="str">
        <f>HYPERLINK("https://t.co/h0pPtaFfNB")</f>
        <v>https://t.co/h0pPtaFfNB</v>
      </c>
      <c r="AX355" s="76" t="b">
        <v>0</v>
      </c>
      <c r="AY355" s="76"/>
      <c r="AZ355" s="76"/>
      <c r="BA355" s="76" t="b">
        <v>1</v>
      </c>
      <c r="BB355" s="76" t="b">
        <v>0</v>
      </c>
      <c r="BC355" s="76" t="b">
        <v>1</v>
      </c>
      <c r="BD355" s="76" t="b">
        <v>0</v>
      </c>
      <c r="BE355" s="76" t="b">
        <v>1</v>
      </c>
      <c r="BF355" s="76" t="b">
        <v>0</v>
      </c>
      <c r="BG355" s="76" t="b">
        <v>0</v>
      </c>
      <c r="BH355" s="83" t="str">
        <f>HYPERLINK("https://pbs.twimg.com/profile_banners/3341974577/1572475499")</f>
        <v>https://pbs.twimg.com/profile_banners/3341974577/1572475499</v>
      </c>
      <c r="BI355" s="76"/>
      <c r="BJ355" s="76" t="s">
        <v>7245</v>
      </c>
      <c r="BK355" s="76" t="b">
        <v>0</v>
      </c>
      <c r="BL355" s="76"/>
      <c r="BM355" s="76" t="s">
        <v>66</v>
      </c>
      <c r="BN355" s="76" t="s">
        <v>7247</v>
      </c>
      <c r="BO355" s="83" t="str">
        <f>HYPERLINK("https://twitter.com/romerofinancas")</f>
        <v>https://twitter.com/romerofinancas</v>
      </c>
      <c r="BP355" s="2"/>
    </row>
    <row r="356" spans="1:68" x14ac:dyDescent="0.25">
      <c r="A356" s="62" t="s">
        <v>560</v>
      </c>
      <c r="B356" s="63"/>
      <c r="C356" s="63"/>
      <c r="D356" s="64"/>
      <c r="E356" s="66"/>
      <c r="F356" s="102" t="str">
        <f>HYPERLINK("https://pbs.twimg.com/profile_images/1637038668119457795/X7v9w0s3_normal.jpg")</f>
        <v>https://pbs.twimg.com/profile_images/1637038668119457795/X7v9w0s3_normal.jpg</v>
      </c>
      <c r="G356" s="63"/>
      <c r="H356" s="67"/>
      <c r="I356" s="68"/>
      <c r="J356" s="68"/>
      <c r="K356" s="67" t="s">
        <v>7600</v>
      </c>
      <c r="L356" s="71"/>
      <c r="M356" s="72"/>
      <c r="N356" s="72"/>
      <c r="O356" s="73"/>
      <c r="P356" s="74"/>
      <c r="Q356" s="74"/>
      <c r="R356" s="86"/>
      <c r="S356" s="86"/>
      <c r="T356" s="86"/>
      <c r="U356" s="86"/>
      <c r="V356" s="48"/>
      <c r="W356" s="48"/>
      <c r="X356" s="48"/>
      <c r="Y356" s="48"/>
      <c r="Z356" s="47"/>
      <c r="AA356" s="69">
        <v>356</v>
      </c>
      <c r="AB356" s="69"/>
      <c r="AC356" s="70"/>
      <c r="AD356" s="76" t="s">
        <v>6476</v>
      </c>
      <c r="AE356" s="81" t="s">
        <v>6091</v>
      </c>
      <c r="AF356" s="76">
        <v>1</v>
      </c>
      <c r="AG356" s="76">
        <v>12</v>
      </c>
      <c r="AH356" s="76">
        <v>88</v>
      </c>
      <c r="AI356" s="76">
        <v>1</v>
      </c>
      <c r="AJ356" s="76">
        <v>16</v>
      </c>
      <c r="AK356" s="76">
        <v>1</v>
      </c>
      <c r="AL356" s="76" t="b">
        <v>0</v>
      </c>
      <c r="AM356" s="78">
        <v>45001.597777777781</v>
      </c>
      <c r="AN356" s="76" t="s">
        <v>6673</v>
      </c>
      <c r="AO356" s="76" t="s">
        <v>6991</v>
      </c>
      <c r="AP356" s="76"/>
      <c r="AQ356" s="76"/>
      <c r="AR356" s="76"/>
      <c r="AS356" s="76"/>
      <c r="AT356" s="76"/>
      <c r="AU356" s="76"/>
      <c r="AV356" s="76">
        <v>1.63704496525042E+18</v>
      </c>
      <c r="AW356" s="76"/>
      <c r="AX356" s="76" t="b">
        <v>0</v>
      </c>
      <c r="AY356" s="76"/>
      <c r="AZ356" s="76"/>
      <c r="BA356" s="76" t="b">
        <v>0</v>
      </c>
      <c r="BB356" s="76" t="b">
        <v>1</v>
      </c>
      <c r="BC356" s="76" t="b">
        <v>1</v>
      </c>
      <c r="BD356" s="76" t="b">
        <v>0</v>
      </c>
      <c r="BE356" s="76" t="b">
        <v>0</v>
      </c>
      <c r="BF356" s="76" t="b">
        <v>0</v>
      </c>
      <c r="BG356" s="76" t="b">
        <v>0</v>
      </c>
      <c r="BH356" s="83" t="str">
        <f>HYPERLINK("https://pbs.twimg.com/profile_banners/1636371903555473408/1679135509")</f>
        <v>https://pbs.twimg.com/profile_banners/1636371903555473408/1679135509</v>
      </c>
      <c r="BI356" s="76"/>
      <c r="BJ356" s="76" t="s">
        <v>7245</v>
      </c>
      <c r="BK356" s="76" t="b">
        <v>0</v>
      </c>
      <c r="BL356" s="76"/>
      <c r="BM356" s="76" t="s">
        <v>66</v>
      </c>
      <c r="BN356" s="76" t="s">
        <v>7247</v>
      </c>
      <c r="BO356" s="83" t="str">
        <f>HYPERLINK("https://twitter.com/senhordigitais")</f>
        <v>https://twitter.com/senhordigitais</v>
      </c>
      <c r="BP356" s="2"/>
    </row>
    <row r="357" spans="1:68" x14ac:dyDescent="0.25">
      <c r="A357" s="62" t="s">
        <v>561</v>
      </c>
      <c r="B357" s="63"/>
      <c r="C357" s="63"/>
      <c r="D357" s="64"/>
      <c r="E357" s="66"/>
      <c r="F357" s="102" t="str">
        <f>HYPERLINK("https://pbs.twimg.com/profile_images/1619135945059475456/Xy6jywsO_normal.jpg")</f>
        <v>https://pbs.twimg.com/profile_images/1619135945059475456/Xy6jywsO_normal.jpg</v>
      </c>
      <c r="G357" s="63"/>
      <c r="H357" s="67"/>
      <c r="I357" s="68"/>
      <c r="J357" s="68"/>
      <c r="K357" s="67" t="s">
        <v>7601</v>
      </c>
      <c r="L357" s="71"/>
      <c r="M357" s="72"/>
      <c r="N357" s="72"/>
      <c r="O357" s="73"/>
      <c r="P357" s="74"/>
      <c r="Q357" s="74"/>
      <c r="R357" s="86"/>
      <c r="S357" s="86"/>
      <c r="T357" s="86"/>
      <c r="U357" s="86"/>
      <c r="V357" s="48"/>
      <c r="W357" s="48"/>
      <c r="X357" s="48"/>
      <c r="Y357" s="48"/>
      <c r="Z357" s="47"/>
      <c r="AA357" s="69">
        <v>357</v>
      </c>
      <c r="AB357" s="69"/>
      <c r="AC357" s="70"/>
      <c r="AD357" s="76" t="s">
        <v>6477</v>
      </c>
      <c r="AE357" s="81" t="s">
        <v>6092</v>
      </c>
      <c r="AF357" s="76">
        <v>2</v>
      </c>
      <c r="AG357" s="76">
        <v>14</v>
      </c>
      <c r="AH357" s="76">
        <v>16</v>
      </c>
      <c r="AI357" s="76">
        <v>1</v>
      </c>
      <c r="AJ357" s="76">
        <v>6</v>
      </c>
      <c r="AK357" s="76">
        <v>14</v>
      </c>
      <c r="AL357" s="76" t="b">
        <v>0</v>
      </c>
      <c r="AM357" s="78">
        <v>44954.027002314811</v>
      </c>
      <c r="AN357" s="76" t="s">
        <v>6674</v>
      </c>
      <c r="AO357" s="76" t="s">
        <v>6992</v>
      </c>
      <c r="AP357" s="83" t="str">
        <f>HYPERLINK("https://t.co/wyAQBNvw0B")</f>
        <v>https://t.co/wyAQBNvw0B</v>
      </c>
      <c r="AQ357" s="83" t="str">
        <f>HYPERLINK("https://blurbi.com.br/")</f>
        <v>https://blurbi.com.br/</v>
      </c>
      <c r="AR357" s="76" t="s">
        <v>7202</v>
      </c>
      <c r="AS357" s="76"/>
      <c r="AT357" s="76"/>
      <c r="AU357" s="76"/>
      <c r="AV357" s="76"/>
      <c r="AW357" s="83" t="str">
        <f>HYPERLINK("https://t.co/wyAQBNvw0B")</f>
        <v>https://t.co/wyAQBNvw0B</v>
      </c>
      <c r="AX357" s="76" t="b">
        <v>0</v>
      </c>
      <c r="AY357" s="76"/>
      <c r="AZ357" s="76"/>
      <c r="BA357" s="76" t="b">
        <v>0</v>
      </c>
      <c r="BB357" s="76" t="b">
        <v>1</v>
      </c>
      <c r="BC357" s="76" t="b">
        <v>1</v>
      </c>
      <c r="BD357" s="76" t="b">
        <v>0</v>
      </c>
      <c r="BE357" s="76" t="b">
        <v>0</v>
      </c>
      <c r="BF357" s="76" t="b">
        <v>0</v>
      </c>
      <c r="BG357" s="76" t="b">
        <v>0</v>
      </c>
      <c r="BH357" s="83" t="str">
        <f>HYPERLINK("https://pbs.twimg.com/profile_banners/1619132839852662785/1674867067")</f>
        <v>https://pbs.twimg.com/profile_banners/1619132839852662785/1674867067</v>
      </c>
      <c r="BI357" s="76"/>
      <c r="BJ357" s="76" t="s">
        <v>7245</v>
      </c>
      <c r="BK357" s="76" t="b">
        <v>0</v>
      </c>
      <c r="BL357" s="76"/>
      <c r="BM357" s="76" t="s">
        <v>66</v>
      </c>
      <c r="BN357" s="76" t="s">
        <v>7247</v>
      </c>
      <c r="BO357" s="83" t="str">
        <f>HYPERLINK("https://twitter.com/portalblurbi")</f>
        <v>https://twitter.com/portalblurbi</v>
      </c>
      <c r="BP357" s="2"/>
    </row>
    <row r="358" spans="1:68" x14ac:dyDescent="0.25">
      <c r="A358" s="62" t="s">
        <v>562</v>
      </c>
      <c r="B358" s="63"/>
      <c r="C358" s="63"/>
      <c r="D358" s="64"/>
      <c r="E358" s="66"/>
      <c r="F358" s="102" t="str">
        <f>HYPERLINK("https://pbs.twimg.com/profile_images/1667237550052765696/ptcTdmsV_normal.jpg")</f>
        <v>https://pbs.twimg.com/profile_images/1667237550052765696/ptcTdmsV_normal.jpg</v>
      </c>
      <c r="G358" s="63"/>
      <c r="H358" s="67"/>
      <c r="I358" s="68"/>
      <c r="J358" s="68"/>
      <c r="K358" s="67" t="s">
        <v>7602</v>
      </c>
      <c r="L358" s="71"/>
      <c r="M358" s="72"/>
      <c r="N358" s="72"/>
      <c r="O358" s="73"/>
      <c r="P358" s="74"/>
      <c r="Q358" s="74"/>
      <c r="R358" s="86"/>
      <c r="S358" s="86"/>
      <c r="T358" s="86"/>
      <c r="U358" s="86"/>
      <c r="V358" s="48"/>
      <c r="W358" s="48"/>
      <c r="X358" s="48"/>
      <c r="Y358" s="48"/>
      <c r="Z358" s="47"/>
      <c r="AA358" s="69">
        <v>358</v>
      </c>
      <c r="AB358" s="69"/>
      <c r="AC358" s="70"/>
      <c r="AD358" s="76" t="s">
        <v>6478</v>
      </c>
      <c r="AE358" s="81" t="s">
        <v>6556</v>
      </c>
      <c r="AF358" s="76">
        <v>41</v>
      </c>
      <c r="AG358" s="76">
        <v>374</v>
      </c>
      <c r="AH358" s="76">
        <v>99</v>
      </c>
      <c r="AI358" s="76">
        <v>6</v>
      </c>
      <c r="AJ358" s="76">
        <v>7</v>
      </c>
      <c r="AK358" s="76">
        <v>26</v>
      </c>
      <c r="AL358" s="76" t="b">
        <v>0</v>
      </c>
      <c r="AM358" s="78">
        <v>42359.544062499997</v>
      </c>
      <c r="AN358" s="76" t="s">
        <v>3771</v>
      </c>
      <c r="AO358" s="76" t="s">
        <v>6993</v>
      </c>
      <c r="AP358" s="83" t="str">
        <f>HYPERLINK("https://t.co/ooud4f8ns8")</f>
        <v>https://t.co/ooud4f8ns8</v>
      </c>
      <c r="AQ358" s="83" t="str">
        <f>HYPERLINK("https://bit.ly/atendimentopositivo")</f>
        <v>https://bit.ly/atendimentopositivo</v>
      </c>
      <c r="AR358" s="76" t="s">
        <v>7203</v>
      </c>
      <c r="AS358" s="76"/>
      <c r="AT358" s="76"/>
      <c r="AU358" s="76"/>
      <c r="AV358" s="76"/>
      <c r="AW358" s="83" t="str">
        <f>HYPERLINK("https://t.co/ooud4f8ns8")</f>
        <v>https://t.co/ooud4f8ns8</v>
      </c>
      <c r="AX358" s="76" t="b">
        <v>0</v>
      </c>
      <c r="AY358" s="76"/>
      <c r="AZ358" s="76"/>
      <c r="BA358" s="76" t="b">
        <v>0</v>
      </c>
      <c r="BB358" s="76" t="b">
        <v>1</v>
      </c>
      <c r="BC358" s="76" t="b">
        <v>1</v>
      </c>
      <c r="BD358" s="76" t="b">
        <v>0</v>
      </c>
      <c r="BE358" s="76" t="b">
        <v>0</v>
      </c>
      <c r="BF358" s="76" t="b">
        <v>0</v>
      </c>
      <c r="BG358" s="76" t="b">
        <v>0</v>
      </c>
      <c r="BH358" s="83" t="str">
        <f>HYPERLINK("https://pbs.twimg.com/profile_banners/4557142769/1686335381")</f>
        <v>https://pbs.twimg.com/profile_banners/4557142769/1686335381</v>
      </c>
      <c r="BI358" s="76"/>
      <c r="BJ358" s="76" t="s">
        <v>7245</v>
      </c>
      <c r="BK358" s="76" t="b">
        <v>0</v>
      </c>
      <c r="BL358" s="76"/>
      <c r="BM358" s="76" t="s">
        <v>66</v>
      </c>
      <c r="BN358" s="76" t="s">
        <v>7247</v>
      </c>
      <c r="BO358" s="83" t="str">
        <f>HYPERLINK("https://twitter.com/luciclaudio7")</f>
        <v>https://twitter.com/luciclaudio7</v>
      </c>
      <c r="BP358" s="2"/>
    </row>
    <row r="359" spans="1:68" x14ac:dyDescent="0.25">
      <c r="A359" s="62" t="s">
        <v>563</v>
      </c>
      <c r="B359" s="63"/>
      <c r="C359" s="63"/>
      <c r="D359" s="64"/>
      <c r="E359" s="66"/>
      <c r="F359" s="102" t="str">
        <f>HYPERLINK("https://pbs.twimg.com/profile_images/1626422824867975169/qD7uN1ws_normal.jpg")</f>
        <v>https://pbs.twimg.com/profile_images/1626422824867975169/qD7uN1ws_normal.jpg</v>
      </c>
      <c r="G359" s="63"/>
      <c r="H359" s="67"/>
      <c r="I359" s="68"/>
      <c r="J359" s="68"/>
      <c r="K359" s="67" t="s">
        <v>7603</v>
      </c>
      <c r="L359" s="71"/>
      <c r="M359" s="72"/>
      <c r="N359" s="72"/>
      <c r="O359" s="73"/>
      <c r="P359" s="74"/>
      <c r="Q359" s="74"/>
      <c r="R359" s="86"/>
      <c r="S359" s="86"/>
      <c r="T359" s="86"/>
      <c r="U359" s="86"/>
      <c r="V359" s="48"/>
      <c r="W359" s="48"/>
      <c r="X359" s="48"/>
      <c r="Y359" s="48"/>
      <c r="Z359" s="47"/>
      <c r="AA359" s="69">
        <v>359</v>
      </c>
      <c r="AB359" s="69"/>
      <c r="AC359" s="70"/>
      <c r="AD359" s="76" t="s">
        <v>6479</v>
      </c>
      <c r="AE359" s="81" t="s">
        <v>6093</v>
      </c>
      <c r="AF359" s="76">
        <v>122</v>
      </c>
      <c r="AG359" s="76">
        <v>15</v>
      </c>
      <c r="AH359" s="76">
        <v>744</v>
      </c>
      <c r="AI359" s="76">
        <v>2</v>
      </c>
      <c r="AJ359" s="76">
        <v>8</v>
      </c>
      <c r="AK359" s="76">
        <v>30</v>
      </c>
      <c r="AL359" s="76" t="b">
        <v>0</v>
      </c>
      <c r="AM359" s="78">
        <v>44936.575208333335</v>
      </c>
      <c r="AN359" s="76"/>
      <c r="AO359" s="76" t="s">
        <v>6994</v>
      </c>
      <c r="AP359" s="76"/>
      <c r="AQ359" s="76"/>
      <c r="AR359" s="76"/>
      <c r="AS359" s="76"/>
      <c r="AT359" s="76"/>
      <c r="AU359" s="76"/>
      <c r="AV359" s="76"/>
      <c r="AW359" s="76"/>
      <c r="AX359" s="76" t="b">
        <v>0</v>
      </c>
      <c r="AY359" s="76"/>
      <c r="AZ359" s="76"/>
      <c r="BA359" s="76" t="b">
        <v>0</v>
      </c>
      <c r="BB359" s="76" t="b">
        <v>1</v>
      </c>
      <c r="BC359" s="76" t="b">
        <v>1</v>
      </c>
      <c r="BD359" s="76" t="b">
        <v>0</v>
      </c>
      <c r="BE359" s="76" t="b">
        <v>0</v>
      </c>
      <c r="BF359" s="76" t="b">
        <v>0</v>
      </c>
      <c r="BG359" s="76" t="b">
        <v>0</v>
      </c>
      <c r="BH359" s="76"/>
      <c r="BI359" s="76"/>
      <c r="BJ359" s="76" t="s">
        <v>7245</v>
      </c>
      <c r="BK359" s="76" t="b">
        <v>0</v>
      </c>
      <c r="BL359" s="76"/>
      <c r="BM359" s="76" t="s">
        <v>66</v>
      </c>
      <c r="BN359" s="76" t="s">
        <v>7247</v>
      </c>
      <c r="BO359" s="83" t="str">
        <f>HYPERLINK("https://twitter.com/henleinvest")</f>
        <v>https://twitter.com/henleinvest</v>
      </c>
      <c r="BP359" s="2"/>
    </row>
    <row r="360" spans="1:68" x14ac:dyDescent="0.25">
      <c r="A360" s="62" t="s">
        <v>564</v>
      </c>
      <c r="B360" s="63"/>
      <c r="C360" s="63"/>
      <c r="D360" s="64"/>
      <c r="E360" s="66"/>
      <c r="F360" s="102" t="str">
        <f>HYPERLINK("https://pbs.twimg.com/profile_images/1689995847075844096/oog6Y6_Q_normal.jpg")</f>
        <v>https://pbs.twimg.com/profile_images/1689995847075844096/oog6Y6_Q_normal.jpg</v>
      </c>
      <c r="G360" s="63"/>
      <c r="H360" s="67"/>
      <c r="I360" s="68"/>
      <c r="J360" s="68"/>
      <c r="K360" s="67" t="s">
        <v>7604</v>
      </c>
      <c r="L360" s="71"/>
      <c r="M360" s="72"/>
      <c r="N360" s="72"/>
      <c r="O360" s="73"/>
      <c r="P360" s="74"/>
      <c r="Q360" s="74"/>
      <c r="R360" s="86"/>
      <c r="S360" s="86"/>
      <c r="T360" s="86"/>
      <c r="U360" s="86"/>
      <c r="V360" s="48"/>
      <c r="W360" s="48"/>
      <c r="X360" s="48"/>
      <c r="Y360" s="48"/>
      <c r="Z360" s="47"/>
      <c r="AA360" s="69">
        <v>360</v>
      </c>
      <c r="AB360" s="69"/>
      <c r="AC360" s="70"/>
      <c r="AD360" s="76" t="s">
        <v>6480</v>
      </c>
      <c r="AE360" s="81" t="s">
        <v>6094</v>
      </c>
      <c r="AF360" s="76">
        <v>0</v>
      </c>
      <c r="AG360" s="76">
        <v>2</v>
      </c>
      <c r="AH360" s="76">
        <v>6</v>
      </c>
      <c r="AI360" s="76">
        <v>0</v>
      </c>
      <c r="AJ360" s="76">
        <v>3</v>
      </c>
      <c r="AK360" s="76">
        <v>6</v>
      </c>
      <c r="AL360" s="76" t="b">
        <v>0</v>
      </c>
      <c r="AM360" s="78">
        <v>45142.128703703704</v>
      </c>
      <c r="AN360" s="76"/>
      <c r="AO360" s="76" t="s">
        <v>6995</v>
      </c>
      <c r="AP360" s="76"/>
      <c r="AQ360" s="76"/>
      <c r="AR360" s="76"/>
      <c r="AS360" s="76"/>
      <c r="AT360" s="76"/>
      <c r="AU360" s="76"/>
      <c r="AV360" s="76"/>
      <c r="AW360" s="76"/>
      <c r="AX360" s="76" t="b">
        <v>0</v>
      </c>
      <c r="AY360" s="76"/>
      <c r="AZ360" s="76"/>
      <c r="BA360" s="76" t="b">
        <v>0</v>
      </c>
      <c r="BB360" s="76" t="b">
        <v>1</v>
      </c>
      <c r="BC360" s="76" t="b">
        <v>1</v>
      </c>
      <c r="BD360" s="76" t="b">
        <v>0</v>
      </c>
      <c r="BE360" s="76" t="b">
        <v>0</v>
      </c>
      <c r="BF360" s="76" t="b">
        <v>0</v>
      </c>
      <c r="BG360" s="76" t="b">
        <v>0</v>
      </c>
      <c r="BH360" s="76"/>
      <c r="BI360" s="76"/>
      <c r="BJ360" s="76" t="s">
        <v>7245</v>
      </c>
      <c r="BK360" s="76" t="b">
        <v>0</v>
      </c>
      <c r="BL360" s="76"/>
      <c r="BM360" s="76" t="s">
        <v>66</v>
      </c>
      <c r="BN360" s="76" t="s">
        <v>7247</v>
      </c>
      <c r="BO360" s="83" t="str">
        <f>HYPERLINK("https://twitter.com/takesdoferini")</f>
        <v>https://twitter.com/takesdoferini</v>
      </c>
      <c r="BP360" s="2"/>
    </row>
    <row r="361" spans="1:68" x14ac:dyDescent="0.25">
      <c r="A361" s="87" t="s">
        <v>581</v>
      </c>
      <c r="B361" s="88"/>
      <c r="C361" s="88"/>
      <c r="D361" s="89"/>
      <c r="E361" s="90"/>
      <c r="F361" s="103" t="str">
        <f>HYPERLINK("https://pbs.twimg.com/profile_images/1686350654669836288/WlQqbkor_normal.jpg")</f>
        <v>https://pbs.twimg.com/profile_images/1686350654669836288/WlQqbkor_normal.jpg</v>
      </c>
      <c r="G361" s="88"/>
      <c r="H361" s="91"/>
      <c r="I361" s="92"/>
      <c r="J361" s="92"/>
      <c r="K361" s="91" t="s">
        <v>7605</v>
      </c>
      <c r="L361" s="93"/>
      <c r="M361" s="94"/>
      <c r="N361" s="94"/>
      <c r="O361" s="95"/>
      <c r="P361" s="96"/>
      <c r="Q361" s="96"/>
      <c r="R361" s="97"/>
      <c r="S361" s="97"/>
      <c r="T361" s="97"/>
      <c r="U361" s="97"/>
      <c r="V361" s="98"/>
      <c r="W361" s="98"/>
      <c r="X361" s="98"/>
      <c r="Y361" s="98"/>
      <c r="Z361" s="99"/>
      <c r="AA361" s="100">
        <v>361</v>
      </c>
      <c r="AB361" s="100"/>
      <c r="AC361" s="101"/>
      <c r="AD361" s="76" t="s">
        <v>6481</v>
      </c>
      <c r="AE361" s="81" t="s">
        <v>6557</v>
      </c>
      <c r="AF361" s="76">
        <v>28</v>
      </c>
      <c r="AG361" s="76">
        <v>1</v>
      </c>
      <c r="AH361" s="76">
        <v>1</v>
      </c>
      <c r="AI361" s="76">
        <v>0</v>
      </c>
      <c r="AJ361" s="76">
        <v>0</v>
      </c>
      <c r="AK361" s="76">
        <v>0</v>
      </c>
      <c r="AL361" s="76" t="b">
        <v>0</v>
      </c>
      <c r="AM361" s="78">
        <v>45139.512557870374</v>
      </c>
      <c r="AN361" s="76"/>
      <c r="AO361" s="76" t="s">
        <v>6996</v>
      </c>
      <c r="AP361" s="76"/>
      <c r="AQ361" s="76"/>
      <c r="AR361" s="76"/>
      <c r="AS361" s="76"/>
      <c r="AT361" s="76"/>
      <c r="AU361" s="76"/>
      <c r="AV361" s="76"/>
      <c r="AW361" s="76"/>
      <c r="AX361" s="76" t="b">
        <v>0</v>
      </c>
      <c r="AY361" s="76"/>
      <c r="AZ361" s="76"/>
      <c r="BA361" s="76" t="b">
        <v>0</v>
      </c>
      <c r="BB361" s="76" t="b">
        <v>1</v>
      </c>
      <c r="BC361" s="76" t="b">
        <v>1</v>
      </c>
      <c r="BD361" s="76" t="b">
        <v>0</v>
      </c>
      <c r="BE361" s="76" t="b">
        <v>0</v>
      </c>
      <c r="BF361" s="76" t="b">
        <v>0</v>
      </c>
      <c r="BG361" s="76" t="b">
        <v>0</v>
      </c>
      <c r="BH361" s="76"/>
      <c r="BI361" s="76"/>
      <c r="BJ361" s="76" t="s">
        <v>7245</v>
      </c>
      <c r="BK361" s="76" t="b">
        <v>0</v>
      </c>
      <c r="BL361" s="76"/>
      <c r="BM361" s="76" t="s">
        <v>65</v>
      </c>
      <c r="BN361" s="76" t="s">
        <v>7247</v>
      </c>
      <c r="BO361" s="83" t="str">
        <f>HYPERLINK("https://twitter.com/fellipeferini")</f>
        <v>https://twitter.com/fellipeferini</v>
      </c>
      <c r="BP361" s="2"/>
    </row>
    <row r="362" spans="1:68" x14ac:dyDescent="0.25">
      <c r="A362" s="87" t="s">
        <v>2180</v>
      </c>
      <c r="B362" s="88"/>
      <c r="C362" s="88"/>
      <c r="D362" s="89"/>
      <c r="E362" s="90"/>
      <c r="F362" s="103" t="str">
        <f>HYPERLINK("https://pbs.twimg.com/profile_images/1466139549642506245/vlcm8IaZ_normal.jpg")</f>
        <v>https://pbs.twimg.com/profile_images/1466139549642506245/vlcm8IaZ_normal.jpg</v>
      </c>
      <c r="G362" s="88" t="s">
        <v>51</v>
      </c>
      <c r="H362" s="91"/>
      <c r="I362" s="92"/>
      <c r="J362" s="92"/>
      <c r="K362" s="91" t="s">
        <v>7606</v>
      </c>
      <c r="L362" s="93"/>
      <c r="M362" s="94"/>
      <c r="N362" s="94"/>
      <c r="O362" s="95"/>
      <c r="P362" s="96"/>
      <c r="Q362" s="96"/>
      <c r="R362" s="97"/>
      <c r="S362" s="97"/>
      <c r="T362" s="97"/>
      <c r="U362" s="97"/>
      <c r="V362" s="98"/>
      <c r="W362" s="98"/>
      <c r="X362" s="98"/>
      <c r="Y362" s="98"/>
      <c r="Z362" s="99"/>
      <c r="AA362" s="100">
        <v>362</v>
      </c>
      <c r="AB362" s="100"/>
      <c r="AC362" s="101"/>
      <c r="AD362" s="76" t="s">
        <v>6482</v>
      </c>
      <c r="AE362" s="81" t="s">
        <v>6558</v>
      </c>
      <c r="AF362" s="76">
        <v>5768</v>
      </c>
      <c r="AG362" s="76">
        <v>258</v>
      </c>
      <c r="AH362" s="76">
        <v>3346</v>
      </c>
      <c r="AI362" s="76">
        <v>69</v>
      </c>
      <c r="AJ362" s="76">
        <v>2259</v>
      </c>
      <c r="AK362" s="76">
        <v>370</v>
      </c>
      <c r="AL362" s="76" t="b">
        <v>0</v>
      </c>
      <c r="AM362" s="78">
        <v>40293.793946759259</v>
      </c>
      <c r="AN362" s="76" t="s">
        <v>6665</v>
      </c>
      <c r="AO362" s="76" t="s">
        <v>6997</v>
      </c>
      <c r="AP362" s="76"/>
      <c r="AQ362" s="76"/>
      <c r="AR362" s="76"/>
      <c r="AS362" s="76"/>
      <c r="AT362" s="76"/>
      <c r="AU362" s="76"/>
      <c r="AV362" s="76">
        <v>1.4508379313384399E+18</v>
      </c>
      <c r="AW362" s="76"/>
      <c r="AX362" s="76" t="b">
        <v>0</v>
      </c>
      <c r="AY362" s="76"/>
      <c r="AZ362" s="76"/>
      <c r="BA362" s="76" t="b">
        <v>0</v>
      </c>
      <c r="BB362" s="76" t="b">
        <v>1</v>
      </c>
      <c r="BC362" s="76" t="b">
        <v>0</v>
      </c>
      <c r="BD362" s="76" t="b">
        <v>0</v>
      </c>
      <c r="BE362" s="76" t="b">
        <v>0</v>
      </c>
      <c r="BF362" s="76" t="b">
        <v>0</v>
      </c>
      <c r="BG362" s="76" t="b">
        <v>0</v>
      </c>
      <c r="BH362" s="83" t="str">
        <f>HYPERLINK("https://pbs.twimg.com/profile_banners/137084305/1606092785")</f>
        <v>https://pbs.twimg.com/profile_banners/137084305/1606092785</v>
      </c>
      <c r="BI362" s="76"/>
      <c r="BJ362" s="76" t="s">
        <v>7245</v>
      </c>
      <c r="BK362" s="76" t="b">
        <v>0</v>
      </c>
      <c r="BL362" s="76"/>
      <c r="BM362" s="76" t="s">
        <v>65</v>
      </c>
      <c r="BN362" s="76" t="s">
        <v>7247</v>
      </c>
      <c r="BO362" s="83" t="str">
        <f>HYPERLINK("https://twitter.com/gabrielamosmann")</f>
        <v>https://twitter.com/gabrielamosmann</v>
      </c>
      <c r="BP362" s="2"/>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62" xr:uid="{00000000-0002-0000-0100-000000000000}"/>
    <dataValidation allowBlank="1" errorTitle="Invalid Vertex Visibility" error="You have entered an unrecognized vertex visibility.  Try selecting from the drop-down list instead." sqref="BP3" xr:uid="{00000000-0002-0000-0100-000001000000}"/>
    <dataValidation allowBlank="1" showErrorMessage="1" sqref="BP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6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6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6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6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62" xr:uid="{00000000-0002-0000-0100-000007000000}"/>
    <dataValidation allowBlank="1" showInputMessage="1" errorTitle="Invalid Vertex Image Key" promptTitle="Vertex Tooltip" prompt="Enter optional text that will pop up when the mouse is hovered over the vertex." sqref="K3:K36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6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6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62" xr:uid="{00000000-0002-0000-0100-00000B000000}"/>
    <dataValidation allowBlank="1" showInputMessage="1" promptTitle="Vertex Label Fill Color" prompt="To select an optional fill color for the Label shape, right-click and select Select Color on the right-click menu." sqref="I3:I362" xr:uid="{00000000-0002-0000-0100-00000C000000}"/>
    <dataValidation allowBlank="1" showInputMessage="1" errorTitle="Invalid Vertex Image Key" promptTitle="Vertex Image File" prompt="Enter the path to an image file.  Hover over the column header for examples." sqref="F3:F362" xr:uid="{00000000-0002-0000-0100-00000D000000}"/>
    <dataValidation allowBlank="1" showInputMessage="1" promptTitle="Vertex Color" prompt="To select an optional vertex color, right-click and select Select Color on the right-click menu." sqref="B3:B36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6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6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6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62" xr:uid="{00000000-0002-0000-0100-000012000000}">
      <formula1>ValidVertexLabelPositions</formula1>
    </dataValidation>
    <dataValidation allowBlank="1" showInputMessage="1" showErrorMessage="1" promptTitle="Vertex Name" prompt="Enter the name of the vertex." sqref="A3:A362"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25"/>
  <cols>
    <col min="1" max="1" width="10.85546875" bestFit="1" customWidth="1"/>
    <col min="2" max="2" width="16.85546875" bestFit="1" customWidth="1"/>
    <col min="4" max="5" width="9.140625" customWidth="1"/>
  </cols>
  <sheetData>
    <row r="1" spans="1:1" x14ac:dyDescent="0.25">
      <c r="A1" t="s">
        <v>49</v>
      </c>
    </row>
    <row r="2" spans="1:1" ht="15" customHeight="1" x14ac:dyDescent="0.25"/>
    <row r="3" spans="1:1" ht="15" customHeight="1" x14ac:dyDescent="0.25">
      <c r="A3" s="29" t="s">
        <v>50</v>
      </c>
    </row>
    <row r="21" spans="4:4" x14ac:dyDescent="0.2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2" t="s">
        <v>39</v>
      </c>
      <c r="C1" s="53"/>
      <c r="D1" s="53"/>
      <c r="E1" s="54"/>
      <c r="F1" s="51" t="s">
        <v>43</v>
      </c>
      <c r="G1" s="55" t="s">
        <v>44</v>
      </c>
      <c r="H1" s="56"/>
      <c r="I1" s="57" t="s">
        <v>40</v>
      </c>
      <c r="J1" s="58"/>
      <c r="K1" s="59" t="s">
        <v>42</v>
      </c>
      <c r="L1" s="60"/>
      <c r="M1" s="60"/>
      <c r="N1" s="60"/>
      <c r="O1" s="60"/>
      <c r="P1" s="60"/>
      <c r="Q1" s="60"/>
      <c r="R1" s="60"/>
      <c r="S1" s="60"/>
      <c r="T1" s="60"/>
      <c r="U1" s="60"/>
      <c r="V1" s="60"/>
      <c r="W1" s="60"/>
      <c r="X1" s="60"/>
    </row>
    <row r="2" spans="1:24" s="7" customFormat="1" ht="30" customHeight="1" x14ac:dyDescent="0.25">
      <c r="A2" s="10" t="s">
        <v>144</v>
      </c>
      <c r="B2" s="7" t="s">
        <v>21</v>
      </c>
      <c r="C2" s="7" t="s">
        <v>20</v>
      </c>
      <c r="D2" s="7" t="s">
        <v>11</v>
      </c>
      <c r="E2" s="7" t="s">
        <v>145</v>
      </c>
      <c r="F2" s="7" t="s">
        <v>46</v>
      </c>
      <c r="G2" s="7" t="s">
        <v>167</v>
      </c>
      <c r="H2" s="7" t="s">
        <v>168</v>
      </c>
      <c r="I2" s="7" t="s">
        <v>12</v>
      </c>
      <c r="J2" s="7" t="s">
        <v>166</v>
      </c>
      <c r="K2" s="7" t="s">
        <v>146</v>
      </c>
      <c r="L2" s="7" t="s">
        <v>148</v>
      </c>
      <c r="M2" s="7" t="s">
        <v>149</v>
      </c>
      <c r="N2" s="7" t="s">
        <v>150</v>
      </c>
      <c r="O2" s="7" t="s">
        <v>151</v>
      </c>
      <c r="P2" s="7" t="s">
        <v>170</v>
      </c>
      <c r="Q2" s="7" t="s">
        <v>171</v>
      </c>
      <c r="R2" s="7" t="s">
        <v>152</v>
      </c>
      <c r="S2" s="7" t="s">
        <v>153</v>
      </c>
      <c r="T2" s="7" t="s">
        <v>154</v>
      </c>
      <c r="U2" s="7" t="s">
        <v>155</v>
      </c>
      <c r="V2" s="7" t="s">
        <v>156</v>
      </c>
      <c r="W2" s="7" t="s">
        <v>157</v>
      </c>
      <c r="X2" s="7" t="s">
        <v>158</v>
      </c>
    </row>
    <row r="3" spans="1:24" x14ac:dyDescent="0.25">
      <c r="A3" s="11"/>
      <c r="B3" s="12"/>
      <c r="C3" s="12"/>
      <c r="D3" s="12"/>
      <c r="E3" s="12"/>
      <c r="F3" s="13"/>
      <c r="G3" s="61"/>
      <c r="H3" s="61"/>
      <c r="I3" s="49"/>
      <c r="J3" s="49"/>
      <c r="K3" s="44"/>
      <c r="L3" s="44"/>
      <c r="M3" s="44"/>
      <c r="N3" s="44"/>
      <c r="O3" s="44"/>
      <c r="P3" s="44"/>
      <c r="Q3" s="44"/>
      <c r="R3" s="44"/>
      <c r="S3" s="44"/>
      <c r="T3" s="44"/>
      <c r="U3" s="44"/>
      <c r="V3" s="44"/>
      <c r="W3" s="45"/>
      <c r="X3" s="45"/>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abSelected="1" topLeftCell="A15" workbookViewId="0">
      <selection activeCell="B32" sqref="B3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7" t="s">
        <v>162</v>
      </c>
      <c r="B1" s="7" t="s">
        <v>17</v>
      </c>
      <c r="D1" t="s">
        <v>79</v>
      </c>
      <c r="E1" t="s">
        <v>80</v>
      </c>
      <c r="F1" s="33" t="s">
        <v>86</v>
      </c>
      <c r="G1" s="34" t="s">
        <v>87</v>
      </c>
      <c r="H1" s="33" t="s">
        <v>92</v>
      </c>
      <c r="I1" s="34" t="s">
        <v>93</v>
      </c>
      <c r="J1" s="33" t="s">
        <v>98</v>
      </c>
      <c r="K1" s="34" t="s">
        <v>99</v>
      </c>
      <c r="L1" s="33" t="s">
        <v>104</v>
      </c>
      <c r="M1" s="34" t="s">
        <v>105</v>
      </c>
      <c r="N1" s="33" t="s">
        <v>110</v>
      </c>
      <c r="O1" s="34" t="s">
        <v>111</v>
      </c>
      <c r="P1" s="34" t="s">
        <v>138</v>
      </c>
      <c r="Q1" s="34" t="s">
        <v>139</v>
      </c>
      <c r="R1" s="33" t="s">
        <v>116</v>
      </c>
      <c r="S1" s="33" t="s">
        <v>117</v>
      </c>
      <c r="T1" s="33" t="s">
        <v>122</v>
      </c>
      <c r="U1" s="34" t="s">
        <v>123</v>
      </c>
      <c r="W1" t="s">
        <v>127</v>
      </c>
      <c r="X1" t="s">
        <v>17</v>
      </c>
    </row>
    <row r="2" spans="1:24" ht="15.75" thickTop="1" x14ac:dyDescent="0.25">
      <c r="A2" s="32" t="s">
        <v>7610</v>
      </c>
      <c r="B2" s="32" t="s">
        <v>7609</v>
      </c>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124</v>
      </c>
      <c r="X2">
        <f>ROWS(HistogramBins[Degree Bin]) - 1</f>
        <v>34</v>
      </c>
    </row>
    <row r="3" spans="1:24" x14ac:dyDescent="0.25">
      <c r="A3" s="104"/>
      <c r="B3" s="104"/>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125</v>
      </c>
      <c r="X3" t="s">
        <v>85</v>
      </c>
    </row>
    <row r="4" spans="1:24" x14ac:dyDescent="0.25">
      <c r="A4" s="32" t="s">
        <v>146</v>
      </c>
      <c r="B4" s="32">
        <v>360</v>
      </c>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126</v>
      </c>
      <c r="X4" t="s">
        <v>128</v>
      </c>
    </row>
    <row r="5" spans="1:24" x14ac:dyDescent="0.25">
      <c r="A5" s="104"/>
      <c r="B5" s="104"/>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25">
      <c r="A6" s="32" t="s">
        <v>148</v>
      </c>
      <c r="B6" s="32">
        <v>270</v>
      </c>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25">
      <c r="A7" s="32" t="s">
        <v>149</v>
      </c>
      <c r="B7" s="32">
        <v>721</v>
      </c>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25">
      <c r="A8" s="32" t="s">
        <v>150</v>
      </c>
      <c r="B8" s="32">
        <v>991</v>
      </c>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25">
      <c r="A9" s="104"/>
      <c r="B9" s="104"/>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25">
      <c r="A10" s="32" t="s">
        <v>151</v>
      </c>
      <c r="B10" s="32">
        <v>956</v>
      </c>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25">
      <c r="A11" s="104"/>
      <c r="B11" s="104"/>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25">
      <c r="A12" s="32" t="s">
        <v>170</v>
      </c>
      <c r="B12" s="32">
        <v>0</v>
      </c>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25">
      <c r="A13" s="32" t="s">
        <v>171</v>
      </c>
      <c r="B13" s="32">
        <v>0</v>
      </c>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25">
      <c r="A14" s="104"/>
      <c r="B14" s="104"/>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25">
      <c r="A15" s="32" t="s">
        <v>152</v>
      </c>
      <c r="B15" s="32">
        <v>334</v>
      </c>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25">
      <c r="A16" s="32" t="s">
        <v>153</v>
      </c>
      <c r="B16" s="32">
        <v>316</v>
      </c>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25">
      <c r="A17" s="32" t="s">
        <v>154</v>
      </c>
      <c r="B17" s="32">
        <v>6</v>
      </c>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25">
      <c r="A18" s="32" t="s">
        <v>155</v>
      </c>
      <c r="B18" s="32">
        <v>154</v>
      </c>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25">
      <c r="A19" s="104"/>
      <c r="B19" s="104"/>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25">
      <c r="A20" s="32" t="s">
        <v>156</v>
      </c>
      <c r="B20" s="32">
        <v>3</v>
      </c>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25">
      <c r="A21" s="32" t="s">
        <v>157</v>
      </c>
      <c r="B21" s="32">
        <v>0.27865200000000001</v>
      </c>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25">
      <c r="A22" s="104"/>
      <c r="B22" s="104"/>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25">
      <c r="A23" s="32" t="s">
        <v>158</v>
      </c>
      <c r="B23" s="32">
        <v>2.0117610646858559E-4</v>
      </c>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25">
      <c r="A24" s="32" t="s">
        <v>7611</v>
      </c>
      <c r="B24" s="32" t="s">
        <v>7627</v>
      </c>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25">
      <c r="A25" s="104"/>
      <c r="B25" s="104"/>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25">
      <c r="A26" s="32" t="s">
        <v>7612</v>
      </c>
      <c r="B26" s="32" t="s">
        <v>7628</v>
      </c>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25">
      <c r="A27" s="104"/>
      <c r="B27" s="104"/>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25">
      <c r="A28" s="32" t="s">
        <v>7613</v>
      </c>
      <c r="B28" s="32" t="s">
        <v>85</v>
      </c>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25">
      <c r="A29" s="32" t="s">
        <v>7614</v>
      </c>
      <c r="B29" s="32" t="s">
        <v>85</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25">
      <c r="A30" s="104"/>
      <c r="B30" s="104"/>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25">
      <c r="A31" s="32" t="s">
        <v>7615</v>
      </c>
      <c r="B31" s="32" t="s">
        <v>7629</v>
      </c>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25">
      <c r="A32" s="32" t="s">
        <v>7616</v>
      </c>
      <c r="B32" s="32" t="s">
        <v>7630</v>
      </c>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25">
      <c r="A33" s="32" t="s">
        <v>7617</v>
      </c>
      <c r="B33" s="32" t="s">
        <v>7631</v>
      </c>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25">
      <c r="A34" s="32" t="s">
        <v>7618</v>
      </c>
      <c r="B34" s="32" t="s">
        <v>85</v>
      </c>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25">
      <c r="A35" s="32" t="s">
        <v>7619</v>
      </c>
      <c r="B35" s="32" t="s">
        <v>85</v>
      </c>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25">
      <c r="A36" s="32" t="s">
        <v>7620</v>
      </c>
      <c r="B36" s="32" t="s">
        <v>85</v>
      </c>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25">
      <c r="A37" s="32" t="s">
        <v>7621</v>
      </c>
      <c r="B37" s="32" t="s">
        <v>85</v>
      </c>
    </row>
    <row r="38" spans="1:21" x14ac:dyDescent="0.25">
      <c r="A38" s="32" t="s">
        <v>7622</v>
      </c>
      <c r="B38" s="32" t="s">
        <v>85</v>
      </c>
    </row>
    <row r="39" spans="1:21" x14ac:dyDescent="0.25">
      <c r="A39" s="32" t="s">
        <v>7623</v>
      </c>
      <c r="B39" s="32" t="s">
        <v>85</v>
      </c>
    </row>
    <row r="40" spans="1:21" x14ac:dyDescent="0.25">
      <c r="A40" s="32" t="s">
        <v>21</v>
      </c>
      <c r="B40" s="32" t="s">
        <v>85</v>
      </c>
    </row>
    <row r="41" spans="1:21" x14ac:dyDescent="0.25">
      <c r="A41" s="32" t="s">
        <v>7624</v>
      </c>
      <c r="B41" s="32" t="s">
        <v>85</v>
      </c>
    </row>
    <row r="42" spans="1:21" x14ac:dyDescent="0.25">
      <c r="A42" s="32" t="s">
        <v>7625</v>
      </c>
      <c r="B42" s="32" t="s">
        <v>85</v>
      </c>
    </row>
    <row r="43" spans="1:21" x14ac:dyDescent="0.25">
      <c r="A43" s="32" t="s">
        <v>7626</v>
      </c>
      <c r="B43" s="32" t="s">
        <v>85</v>
      </c>
    </row>
    <row r="60" spans="1:2" x14ac:dyDescent="0.25">
      <c r="A60" t="s">
        <v>163</v>
      </c>
      <c r="B60" t="s">
        <v>17</v>
      </c>
    </row>
    <row r="61" spans="1:2" x14ac:dyDescent="0.25">
      <c r="A61" s="31"/>
      <c r="B61" s="31"/>
    </row>
    <row r="74" spans="1:2" x14ac:dyDescent="0.25">
      <c r="A74" s="31" t="s">
        <v>81</v>
      </c>
      <c r="B74" s="44" t="str">
        <f>IF(COUNT(Vertices[Degree])&gt;0, D2, NoMetricMessage)</f>
        <v>Not Available</v>
      </c>
    </row>
    <row r="75" spans="1:2" x14ac:dyDescent="0.25">
      <c r="A75" s="31" t="s">
        <v>82</v>
      </c>
      <c r="B75" s="44" t="str">
        <f>IF(COUNT(Vertices[Degree])&gt;0, D36, NoMetricMessage)</f>
        <v>Not Available</v>
      </c>
    </row>
    <row r="76" spans="1:2" x14ac:dyDescent="0.25">
      <c r="A76" s="31" t="s">
        <v>83</v>
      </c>
      <c r="B76" s="45" t="str">
        <f>IFERROR(AVERAGE(Vertices[Degree]),NoMetricMessage)</f>
        <v>Not Available</v>
      </c>
    </row>
    <row r="77" spans="1:2" x14ac:dyDescent="0.25">
      <c r="A77" s="31" t="s">
        <v>84</v>
      </c>
      <c r="B77" s="45" t="str">
        <f>IFERROR(MEDIAN(Vertices[Degree]),NoMetricMessage)</f>
        <v>Not Available</v>
      </c>
    </row>
    <row r="88" spans="1:2" x14ac:dyDescent="0.25">
      <c r="A88" s="31" t="s">
        <v>88</v>
      </c>
      <c r="B88" s="44" t="str">
        <f>IF(COUNT(Vertices[In-Degree])&gt;0, F2, NoMetricMessage)</f>
        <v>Not Available</v>
      </c>
    </row>
    <row r="89" spans="1:2" x14ac:dyDescent="0.25">
      <c r="A89" s="31" t="s">
        <v>89</v>
      </c>
      <c r="B89" s="44" t="str">
        <f>IF(COUNT(Vertices[In-Degree])&gt;0, F36, NoMetricMessage)</f>
        <v>Not Available</v>
      </c>
    </row>
    <row r="90" spans="1:2" x14ac:dyDescent="0.25">
      <c r="A90" s="31" t="s">
        <v>90</v>
      </c>
      <c r="B90" s="45" t="str">
        <f>IFERROR(AVERAGE(Vertices[In-Degree]),NoMetricMessage)</f>
        <v>Not Available</v>
      </c>
    </row>
    <row r="91" spans="1:2" x14ac:dyDescent="0.25">
      <c r="A91" s="31" t="s">
        <v>91</v>
      </c>
      <c r="B91" s="45" t="str">
        <f>IFERROR(MEDIAN(Vertices[In-Degree]),NoMetricMessage)</f>
        <v>Not Available</v>
      </c>
    </row>
    <row r="102" spans="1:2" x14ac:dyDescent="0.25">
      <c r="A102" s="31" t="s">
        <v>94</v>
      </c>
      <c r="B102" s="44" t="str">
        <f>IF(COUNT(Vertices[Out-Degree])&gt;0, H2, NoMetricMessage)</f>
        <v>Not Available</v>
      </c>
    </row>
    <row r="103" spans="1:2" x14ac:dyDescent="0.25">
      <c r="A103" s="31" t="s">
        <v>95</v>
      </c>
      <c r="B103" s="44" t="str">
        <f>IF(COUNT(Vertices[Out-Degree])&gt;0, H36, NoMetricMessage)</f>
        <v>Not Available</v>
      </c>
    </row>
    <row r="104" spans="1:2" x14ac:dyDescent="0.25">
      <c r="A104" s="31" t="s">
        <v>96</v>
      </c>
      <c r="B104" s="45" t="str">
        <f>IFERROR(AVERAGE(Vertices[Out-Degree]),NoMetricMessage)</f>
        <v>Not Available</v>
      </c>
    </row>
    <row r="105" spans="1:2" x14ac:dyDescent="0.25">
      <c r="A105" s="31" t="s">
        <v>97</v>
      </c>
      <c r="B105" s="45" t="str">
        <f>IFERROR(MEDIAN(Vertices[Out-Degree]),NoMetricMessage)</f>
        <v>Not Available</v>
      </c>
    </row>
    <row r="116" spans="1:2" x14ac:dyDescent="0.25">
      <c r="A116" s="31" t="s">
        <v>100</v>
      </c>
      <c r="B116" s="45" t="str">
        <f>IF(COUNT(Vertices[Betweenness Centrality])&gt;0, J2, NoMetricMessage)</f>
        <v>Not Available</v>
      </c>
    </row>
    <row r="117" spans="1:2" x14ac:dyDescent="0.25">
      <c r="A117" s="31" t="s">
        <v>101</v>
      </c>
      <c r="B117" s="45" t="str">
        <f>IF(COUNT(Vertices[Betweenness Centrality])&gt;0, J36, NoMetricMessage)</f>
        <v>Not Available</v>
      </c>
    </row>
    <row r="118" spans="1:2" x14ac:dyDescent="0.25">
      <c r="A118" s="31" t="s">
        <v>102</v>
      </c>
      <c r="B118" s="45" t="str">
        <f>IFERROR(AVERAGE(Vertices[Betweenness Centrality]),NoMetricMessage)</f>
        <v>Not Available</v>
      </c>
    </row>
    <row r="119" spans="1:2" x14ac:dyDescent="0.25">
      <c r="A119" s="31" t="s">
        <v>103</v>
      </c>
      <c r="B119" s="45" t="str">
        <f>IFERROR(MEDIAN(Vertices[Betweenness Centrality]),NoMetricMessage)</f>
        <v>Not Available</v>
      </c>
    </row>
    <row r="130" spans="1:2" x14ac:dyDescent="0.25">
      <c r="A130" s="31" t="s">
        <v>106</v>
      </c>
      <c r="B130" s="45" t="str">
        <f>IF(COUNT(Vertices[Closeness Centrality])&gt;0, L2, NoMetricMessage)</f>
        <v>Not Available</v>
      </c>
    </row>
    <row r="131" spans="1:2" x14ac:dyDescent="0.25">
      <c r="A131" s="31" t="s">
        <v>107</v>
      </c>
      <c r="B131" s="45" t="str">
        <f>IF(COUNT(Vertices[Closeness Centrality])&gt;0, L36, NoMetricMessage)</f>
        <v>Not Available</v>
      </c>
    </row>
    <row r="132" spans="1:2" x14ac:dyDescent="0.25">
      <c r="A132" s="31" t="s">
        <v>108</v>
      </c>
      <c r="B132" s="45" t="str">
        <f>IFERROR(AVERAGE(Vertices[Closeness Centrality]),NoMetricMessage)</f>
        <v>Not Available</v>
      </c>
    </row>
    <row r="133" spans="1:2" x14ac:dyDescent="0.25">
      <c r="A133" s="31" t="s">
        <v>109</v>
      </c>
      <c r="B133" s="45" t="str">
        <f>IFERROR(MEDIAN(Vertices[Closeness Centrality]),NoMetricMessage)</f>
        <v>Not Available</v>
      </c>
    </row>
    <row r="144" spans="1:2" x14ac:dyDescent="0.25">
      <c r="A144" s="31" t="s">
        <v>112</v>
      </c>
      <c r="B144" s="45" t="str">
        <f>IF(COUNT(Vertices[Eigenvector Centrality])&gt;0, N2, NoMetricMessage)</f>
        <v>Not Available</v>
      </c>
    </row>
    <row r="145" spans="1:2" x14ac:dyDescent="0.25">
      <c r="A145" s="31" t="s">
        <v>113</v>
      </c>
      <c r="B145" s="45" t="str">
        <f>IF(COUNT(Vertices[Eigenvector Centrality])&gt;0, N36, NoMetricMessage)</f>
        <v>Not Available</v>
      </c>
    </row>
    <row r="146" spans="1:2" x14ac:dyDescent="0.25">
      <c r="A146" s="31" t="s">
        <v>114</v>
      </c>
      <c r="B146" s="45" t="str">
        <f>IFERROR(AVERAGE(Vertices[Eigenvector Centrality]),NoMetricMessage)</f>
        <v>Not Available</v>
      </c>
    </row>
    <row r="147" spans="1:2" x14ac:dyDescent="0.25">
      <c r="A147" s="31" t="s">
        <v>115</v>
      </c>
      <c r="B147" s="45" t="str">
        <f>IFERROR(MEDIAN(Vertices[Eigenvector Centrality]),NoMetricMessage)</f>
        <v>Not Available</v>
      </c>
    </row>
    <row r="158" spans="1:2" x14ac:dyDescent="0.25">
      <c r="A158" s="31" t="s">
        <v>140</v>
      </c>
      <c r="B158" s="45" t="str">
        <f>IF(COUNT(Vertices[PageRank])&gt;0, P2, NoMetricMessage)</f>
        <v>Not Available</v>
      </c>
    </row>
    <row r="159" spans="1:2" x14ac:dyDescent="0.25">
      <c r="A159" s="31" t="s">
        <v>141</v>
      </c>
      <c r="B159" s="45" t="str">
        <f>IF(COUNT(Vertices[PageRank])&gt;0, P36, NoMetricMessage)</f>
        <v>Not Available</v>
      </c>
    </row>
    <row r="160" spans="1:2" x14ac:dyDescent="0.25">
      <c r="A160" s="31" t="s">
        <v>142</v>
      </c>
      <c r="B160" s="45" t="str">
        <f>IFERROR(AVERAGE(Vertices[PageRank]),NoMetricMessage)</f>
        <v>Not Available</v>
      </c>
    </row>
    <row r="161" spans="1:2" x14ac:dyDescent="0.25">
      <c r="A161" s="31" t="s">
        <v>143</v>
      </c>
      <c r="B161" s="45" t="str">
        <f>IFERROR(MEDIAN(Vertices[PageRank]),NoMetricMessage)</f>
        <v>Not Available</v>
      </c>
    </row>
    <row r="172" spans="1:2" x14ac:dyDescent="0.25">
      <c r="A172" s="31" t="s">
        <v>118</v>
      </c>
      <c r="B172" s="45" t="str">
        <f>IF(COUNT(Vertices[Clustering Coefficient])&gt;0, R2, NoMetricMessage)</f>
        <v>Not Available</v>
      </c>
    </row>
    <row r="173" spans="1:2" x14ac:dyDescent="0.25">
      <c r="A173" s="31" t="s">
        <v>119</v>
      </c>
      <c r="B173" s="45" t="str">
        <f>IF(COUNT(Vertices[Clustering Coefficient])&gt;0, R36, NoMetricMessage)</f>
        <v>Not Available</v>
      </c>
    </row>
    <row r="174" spans="1:2" x14ac:dyDescent="0.25">
      <c r="A174" s="31" t="s">
        <v>120</v>
      </c>
      <c r="B174" s="45" t="str">
        <f>IFERROR(AVERAGE(Vertices[Clustering Coefficient]),NoMetricMessage)</f>
        <v>Not Available</v>
      </c>
    </row>
    <row r="175" spans="1:2" x14ac:dyDescent="0.25">
      <c r="A175" s="31" t="s">
        <v>121</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3" customFormat="1" ht="36" customHeight="1" x14ac:dyDescent="0.25">
      <c r="A1" s="4" t="s">
        <v>6</v>
      </c>
      <c r="B1" s="4" t="s">
        <v>131</v>
      </c>
      <c r="C1" s="3" t="s">
        <v>7</v>
      </c>
      <c r="D1" s="3" t="s">
        <v>9</v>
      </c>
      <c r="E1" s="3" t="s">
        <v>164</v>
      </c>
      <c r="F1" s="4" t="s">
        <v>169</v>
      </c>
      <c r="G1" s="3" t="s">
        <v>14</v>
      </c>
      <c r="H1" s="3" t="s">
        <v>67</v>
      </c>
      <c r="J1" s="3" t="s">
        <v>18</v>
      </c>
      <c r="K1" s="3" t="s">
        <v>17</v>
      </c>
      <c r="M1" s="3" t="s">
        <v>22</v>
      </c>
      <c r="N1" s="3" t="s">
        <v>23</v>
      </c>
      <c r="O1" s="3" t="s">
        <v>24</v>
      </c>
      <c r="P1" s="3"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7609</v>
      </c>
    </row>
    <row r="4" spans="1:18" x14ac:dyDescent="0.25">
      <c r="A4" s="1" t="s">
        <v>53</v>
      </c>
      <c r="B4" s="1" t="s">
        <v>134</v>
      </c>
      <c r="C4" t="s">
        <v>53</v>
      </c>
      <c r="D4" t="s">
        <v>57</v>
      </c>
      <c r="E4" t="s">
        <v>57</v>
      </c>
      <c r="F4" s="1" t="s">
        <v>53</v>
      </c>
      <c r="G4">
        <v>0</v>
      </c>
      <c r="H4" t="s">
        <v>69</v>
      </c>
      <c r="J4" t="s">
        <v>78</v>
      </c>
    </row>
    <row r="5" spans="1:18" ht="409.5" x14ac:dyDescent="0.25">
      <c r="A5">
        <v>1</v>
      </c>
      <c r="B5" s="1" t="s">
        <v>135</v>
      </c>
      <c r="C5" t="s">
        <v>51</v>
      </c>
      <c r="D5" t="s">
        <v>58</v>
      </c>
      <c r="E5" t="s">
        <v>58</v>
      </c>
      <c r="F5">
        <v>1</v>
      </c>
      <c r="G5">
        <v>1</v>
      </c>
      <c r="H5" t="s">
        <v>70</v>
      </c>
      <c r="J5" t="s">
        <v>172</v>
      </c>
      <c r="K5" s="7" t="s">
        <v>7638</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ht="409.5" x14ac:dyDescent="0.25">
      <c r="A8"/>
      <c r="B8">
        <v>2</v>
      </c>
      <c r="C8">
        <v>2</v>
      </c>
      <c r="D8" t="s">
        <v>61</v>
      </c>
      <c r="E8" t="s">
        <v>61</v>
      </c>
      <c r="H8" t="s">
        <v>73</v>
      </c>
      <c r="J8" t="s">
        <v>176</v>
      </c>
      <c r="K8" s="7" t="s">
        <v>7608</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DD05-0A08-46D1-88DB-3C9A879811DE}">
  <dimension ref="A1:B7"/>
  <sheetViews>
    <sheetView workbookViewId="0"/>
  </sheetViews>
  <sheetFormatPr defaultRowHeight="15" x14ac:dyDescent="0.25"/>
  <cols>
    <col min="1" max="1" width="6.5703125" bestFit="1" customWidth="1"/>
    <col min="2" max="2" width="8.42578125" bestFit="1" customWidth="1"/>
  </cols>
  <sheetData>
    <row r="1" spans="1:2" ht="15" customHeight="1" x14ac:dyDescent="0.25">
      <c r="A1" s="7" t="s">
        <v>7632</v>
      </c>
      <c r="B1" s="7" t="s">
        <v>17</v>
      </c>
    </row>
    <row r="2" spans="1:2" x14ac:dyDescent="0.25">
      <c r="A2" s="76" t="s">
        <v>7633</v>
      </c>
      <c r="B2" s="76"/>
    </row>
    <row r="3" spans="1:2" x14ac:dyDescent="0.25">
      <c r="A3" s="77" t="s">
        <v>7634</v>
      </c>
      <c r="B3" s="76"/>
    </row>
    <row r="4" spans="1:2" x14ac:dyDescent="0.25">
      <c r="A4" s="77" t="s">
        <v>7635</v>
      </c>
      <c r="B4" s="76"/>
    </row>
    <row r="5" spans="1:2" x14ac:dyDescent="0.25">
      <c r="A5" s="77" t="s">
        <v>7636</v>
      </c>
      <c r="B5" s="76"/>
    </row>
    <row r="6" spans="1:2" x14ac:dyDescent="0.25">
      <c r="A6" s="77" t="s">
        <v>7637</v>
      </c>
      <c r="B6" s="76"/>
    </row>
    <row r="7" spans="1:2" x14ac:dyDescent="0.25">
      <c r="A7" s="77" t="s">
        <v>6114</v>
      </c>
      <c r="B7" s="76"/>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85AC1EC-6F16-4416-B96C-6990C6D691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Mauricio Fernandes</cp:lastModifiedBy>
  <dcterms:created xsi:type="dcterms:W3CDTF">2008-01-30T00:41:58Z</dcterms:created>
  <dcterms:modified xsi:type="dcterms:W3CDTF">2023-09-27T17:05:59Z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