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luencers Selecionados" sheetId="1" r:id="rId4"/>
    <sheet state="visible" name="Influencers Tratados" sheetId="2" r:id="rId5"/>
    <sheet state="visible" name="Hashtags" sheetId="3" r:id="rId6"/>
    <sheet state="visible" name="BDTrat" sheetId="4" r:id="rId7"/>
    <sheet state="visible" name="BD" sheetId="5" r:id="rId8"/>
  </sheets>
  <definedNames/>
  <calcPr/>
</workbook>
</file>

<file path=xl/sharedStrings.xml><?xml version="1.0" encoding="utf-8"?>
<sst xmlns="http://schemas.openxmlformats.org/spreadsheetml/2006/main" count="2026" uniqueCount="1066">
  <si>
    <t>User_Name</t>
  </si>
  <si>
    <t>Usuário</t>
  </si>
  <si>
    <t>Descrição</t>
  </si>
  <si>
    <t>Conteúdo majoritariamente sobre educação financeira</t>
  </si>
  <si>
    <t>PageRank</t>
  </si>
  <si>
    <t>N. Seguidores</t>
  </si>
  <si>
    <t>Possui outras redes sociais?</t>
  </si>
  <si>
    <t>Pontua SNA?</t>
  </si>
  <si>
    <t>Possui 1.000 seguidores?</t>
  </si>
  <si>
    <t>Conteúdo em PT</t>
  </si>
  <si>
    <t>Influenciador Brasileiro?</t>
  </si>
  <si>
    <t>webtcoficial</t>
  </si>
  <si>
    <t>We❤Bitcoin</t>
  </si>
  <si>
    <t>O seu portal de notícias sobre #Bitcoin e #blockchain, sua melhor fonte de informação com as mais recentes #notícias mundiais sobre #criptomoedas.</t>
  </si>
  <si>
    <t>Sim</t>
  </si>
  <si>
    <t>b3_oficial</t>
  </si>
  <si>
    <t>B3</t>
  </si>
  <si>
    <t>Nosso compromisso é conduzir o desenvolvimento econômico sustentável para a sociedade prosperar.</t>
  </si>
  <si>
    <t>mat_financeira</t>
  </si>
  <si>
    <t>Matemática Financeira</t>
  </si>
  <si>
    <t>Tweets didáticos sobre economia, matemática financeira, finanças pessoais e outros temas para compreender melhor o nosso mundo econômico. Prof. Ricardo Viana.</t>
  </si>
  <si>
    <t>nathfinancas</t>
  </si>
  <si>
    <t>Nath Finanças 💰</t>
  </si>
  <si>
    <t>Administradora| Finanças| Investimentos| Empresária| Vascaína 💢🌈| Amo Rap e memes💙| Contato :comercial@nathfinancas.com</t>
  </si>
  <si>
    <t>cvmgovbr</t>
  </si>
  <si>
    <t>CVM</t>
  </si>
  <si>
    <t>Conta oficial da Comissão de Valores Mobiliários, reguladora do mercado de capitais no Brasil. Para atendimento, acesse https://t.co/BCxcyxjPFR</t>
  </si>
  <si>
    <t>loopipay</t>
  </si>
  <si>
    <t>LoopiPay</t>
  </si>
  <si>
    <t>A LoopiPay é uma plataforma para comprar Bitcoin e outras criptomoedas via PIX direto para sua carteira. 📲 Baixe nosso app: https://t.co/Gq4sFtKl8W</t>
  </si>
  <si>
    <t>rio_bravo</t>
  </si>
  <si>
    <t>Rio Bravo</t>
  </si>
  <si>
    <t>Há mais de 20 anos, fazemos a ponte entre o mercado e sociedade, e nos propomos a impulsionar a nova geração de investimentos e investidores conscientes.</t>
  </si>
  <si>
    <t>meubolsoemdia</t>
  </si>
  <si>
    <t>Meu Bolso em Dia</t>
  </si>
  <si>
    <t>Aqui você aprende a cuidar bem do seu dinheiro. @FEBRABAN</t>
  </si>
  <si>
    <t>febraban</t>
  </si>
  <si>
    <t>FEBRABAN</t>
  </si>
  <si>
    <t>Twitter oficial da FEBRABAN - Federação Brasileira de Bancos - principal entidade representativa do setor bancário no País.</t>
  </si>
  <si>
    <t>andreynousi</t>
  </si>
  <si>
    <t>Andrey Nousi, CFA</t>
  </si>
  <si>
    <t>CEO da @nousifinance. Já movimentei bilhões de dólares como Vice-presidente do JPMorgan na Suíça. eBooks de investimentos 👇</t>
  </si>
  <si>
    <t>fiinewspaper</t>
  </si>
  <si>
    <t>Fii News Paper</t>
  </si>
  <si>
    <t>Dados de fundos listados de renda passiva e isentos de imposto na distribuição de rendimentos para pessoa física: #Fii #Fiagro #Fipie #Fiinfra 🤖</t>
  </si>
  <si>
    <t>einvestidor</t>
  </si>
  <si>
    <t>E-Investidor</t>
  </si>
  <si>
    <t>Notícias sobre mercado financeiro, economia e finanças pessoais. Este é o E-investidor, novo portal de investimentos do @estadao</t>
  </si>
  <si>
    <t>bancocentralbr</t>
  </si>
  <si>
    <t>Banco Central BR</t>
  </si>
  <si>
    <t>Fique por dentro de tudo que o BC publica: https://t.co/VrFnR3Etep…</t>
  </si>
  <si>
    <t>professormira1</t>
  </si>
  <si>
    <t>Professor Mira</t>
  </si>
  <si>
    <t>Analista CNPI, Investidor Profissional, trader e especialista em finanças e Investimentos.</t>
  </si>
  <si>
    <t>leiamoneytimes</t>
  </si>
  <si>
    <t>Money Times</t>
  </si>
  <si>
    <t>🗞️💰💡 Notícias que enriquecem seu dia! 
Não é apenas sobre publicar notícias, é sobre como pensamos o jornalismo. 
Siga 👉 @leiacryptotimes e @leiaagrotimes</t>
  </si>
  <si>
    <t>organizze</t>
  </si>
  <si>
    <t>Organizze</t>
  </si>
  <si>
    <t>O controle financeiro completo que vai aposentar de vez sua planilha. 
Acesse pela Web ou baixe no seu Android ou iOS!</t>
  </si>
  <si>
    <t>agoracorretora</t>
  </si>
  <si>
    <t>Ágora Investimentos</t>
  </si>
  <si>
    <t>Transparência, rentabilidade e segurança são os objetivos da nossa casa de investimentos.</t>
  </si>
  <si>
    <t>ricamconsult</t>
  </si>
  <si>
    <t>Ricardo Amorim</t>
  </si>
  <si>
    <t>Economista sem economês e com bom humor. Ganhador dos Prêmios iBest de Economia e Negócios, Opinião e Cidadania e maior influenciador do LinkedIn.</t>
  </si>
  <si>
    <t>sigaif</t>
  </si>
  <si>
    <t>Inteligência Financeira</t>
  </si>
  <si>
    <t>Nossa plataforma transforma a sua jornada financeira. Pra gente, informação é investimento.</t>
  </si>
  <si>
    <t>thiagonigro</t>
  </si>
  <si>
    <t>Thiago Nigro</t>
  </si>
  <si>
    <t>O Primo Rico | Investimentos, Empreendedorismo e Finanças.</t>
  </si>
  <si>
    <t>mendlowicz</t>
  </si>
  <si>
    <t>Economista Sincero</t>
  </si>
  <si>
    <t>🏦 2 x TOP 1 Influenciador de Investimentos do Brasil ANBIMA
👊 Economia sem Enrolação</t>
  </si>
  <si>
    <t>calilecalil</t>
  </si>
  <si>
    <t>Academia do Dinheiro</t>
  </si>
  <si>
    <t>Palestrante, Consultor com + de 1.000 atendimentos, investidor na Bolsa há + de 20 anos. Mestre pela USP,  Autor de best-sellers em finanças pessoais.</t>
  </si>
  <si>
    <t>centralnath</t>
  </si>
  <si>
    <t>Central Nath Finanças</t>
  </si>
  <si>
    <t>Sua fonte oficial de notícias sobre a orientadora financeira @nathfinancas. Tem alguma dúvida? Chama a gente! | adm por #EquipeNathFinancas 💜💰</t>
  </si>
  <si>
    <t>gcerbasi</t>
  </si>
  <si>
    <t>Gustavo Cerbasi</t>
  </si>
  <si>
    <t>Inteligência Financeira é pensar sua riqueza de maneira diferente! /Facebook Gustavo Cerbasi /Instagram GustavoCerbasi / YouTube Gustavo Cerbasi</t>
  </si>
  <si>
    <t>luciana__seabra</t>
  </si>
  <si>
    <t>Luciana Seabra</t>
  </si>
  <si>
    <t>Analista independente de fundos e previdência, CFP®, CNPI 👊Ativista do acesso a investimentos de qualidade 🤦🏻‍♀️Pesadelo: investidor em produto caro e ruim</t>
  </si>
  <si>
    <t>mepoupenaweb</t>
  </si>
  <si>
    <t>Me Poupe!</t>
  </si>
  <si>
    <t>A finpactech que usa inovação para desf*der a nação.
TURBINE SUA RENDA EXTRA:
PROGRAMA DE AFILIAÇÃO MP!
COM 20% DE COMISSÃO👇</t>
  </si>
  <si>
    <t>sunoasset</t>
  </si>
  <si>
    <t>Suno Asset</t>
  </si>
  <si>
    <t>🔴 Grupo Suno
📊 Gestora de recursos independente
👉 Soluções de investimento para você
🚀 Mais sobre os nossos fundos 👇</t>
  </si>
  <si>
    <t>joaokepler</t>
  </si>
  <si>
    <t>João Kepler</t>
  </si>
  <si>
    <t>Escritor l Educador l Investidor Anjo l CEO na @bossainvest | Venture Capital l Best-sellers: Smart Money e o Poder do Equity | Investindo em GENTE &amp; STARTUPS</t>
  </si>
  <si>
    <t>jornalcontabil_</t>
  </si>
  <si>
    <t>Jornal Contábil</t>
  </si>
  <si>
    <t>https://t.co/qlnZ5UsZ7Y</t>
  </si>
  <si>
    <t>crisinveste</t>
  </si>
  <si>
    <t>Cristiane Fensterseifer, CNPI, CGA e consultora</t>
  </si>
  <si>
    <t>Analista, gestora e consultora de investimentos
Assine o ALL IN ONE: RENDA E ALTO POTENCIAL SEM TAXAS!</t>
  </si>
  <si>
    <t>anderson77i</t>
  </si>
  <si>
    <t>Anderson de Andrade</t>
  </si>
  <si>
    <t>VP @ Organizze Membro do Conselho de Administração @ Brivia Group Empreendedor e investidor serial apaixonado por scale-ups e venture capital</t>
  </si>
  <si>
    <t>multimidiainfo</t>
  </si>
  <si>
    <t>MultiMidia Info</t>
  </si>
  <si>
    <t>Tecnologia, Mercado financeiro, Cenário musical, Notícias locais e+. #MultiMidiaInfo
Se inscreva em nosso canal do YouTube:
https://t.co/0EvvE3Jzv8</t>
  </si>
  <si>
    <t>sistemacndl</t>
  </si>
  <si>
    <t>CNDL</t>
  </si>
  <si>
    <t>Confederação Nacional de Dirigentes Lojistas.
Há 62 anos, nossa missão é representar e fortalecer o varejo brasileiro. #JuntosSomosMaisFortes 👊🤝</t>
  </si>
  <si>
    <t>dividazero</t>
  </si>
  <si>
    <t>Dívida Zero - Cae Galvão</t>
  </si>
  <si>
    <t>Educador financeiro, idealizador do Canal Dívida Zero, escritor, Palestrante corporativo - promovendo bem-estar financeiro
Ajudo empreendedores nas Finanças</t>
  </si>
  <si>
    <t>palavra</t>
  </si>
  <si>
    <t>n</t>
  </si>
  <si>
    <t>finanças</t>
  </si>
  <si>
    <t>economia</t>
  </si>
  <si>
    <t>liberdadefinanceira</t>
  </si>
  <si>
    <t>financaspessoais</t>
  </si>
  <si>
    <t>financas</t>
  </si>
  <si>
    <t>economedicos</t>
  </si>
  <si>
    <t>dinheiro</t>
  </si>
  <si>
    <t>investimentos</t>
  </si>
  <si>
    <t>empreendedorismo</t>
  </si>
  <si>
    <t>empreendedor</t>
  </si>
  <si>
    <t>rendaextra</t>
  </si>
  <si>
    <t>vendermais</t>
  </si>
  <si>
    <t>organizacaofinanceira</t>
  </si>
  <si>
    <t>vendedor</t>
  </si>
  <si>
    <t>rendaextraemcasa</t>
  </si>
  <si>
    <t>mercadofinanceiro</t>
  </si>
  <si>
    <t>prosperidadefinanceira</t>
  </si>
  <si>
    <t>prosperidade</t>
  </si>
  <si>
    <t>macroeconomia</t>
  </si>
  <si>
    <t>investimento</t>
  </si>
  <si>
    <t>derivativos</t>
  </si>
  <si>
    <t>mercadodeopções</t>
  </si>
  <si>
    <t>bitcoin</t>
  </si>
  <si>
    <t>planejamentofinanceiro</t>
  </si>
  <si>
    <t>mercadofuturo</t>
  </si>
  <si>
    <t>impostoderenda</t>
  </si>
  <si>
    <t>bancocentral</t>
  </si>
  <si>
    <t>aprendervalor</t>
  </si>
  <si>
    <t>ações</t>
  </si>
  <si>
    <t>poupex_oficial</t>
  </si>
  <si>
    <t>POUPEX</t>
  </si>
  <si>
    <t>O melhor caminho para a casa própria</t>
  </si>
  <si>
    <t>Não</t>
  </si>
  <si>
    <t>youtube</t>
  </si>
  <si>
    <t>YouTube</t>
  </si>
  <si>
    <t>like and subscribe.</t>
  </si>
  <si>
    <t>varginha_online</t>
  </si>
  <si>
    <t>Varginha Online</t>
  </si>
  <si>
    <t>Twitter oficial do site de notícias Varginha Online. informações diárias da cidade e da região.</t>
  </si>
  <si>
    <t>alfainvestidor1</t>
  </si>
  <si>
    <t>O Caminho da Alfa</t>
  </si>
  <si>
    <t>Investindo agora para alcançar os sonho amanhã. Existe uma Chave Mestra da Riqueza que abre a porta da prosperidade. Vamos te ensinar a usar!</t>
  </si>
  <si>
    <t>marciac42792937</t>
  </si>
  <si>
    <t>Marcia Coelho</t>
  </si>
  <si>
    <t>Especialista em Educação Financeira 👩‍🏫💰|Consultora| Formadora 💗 📚 🏖 ✈️ 🍸🦞 
Autora do 📚: Mais que dinheiro! O guia Ideal de Finanças para Casais</t>
  </si>
  <si>
    <t>kamba_rico</t>
  </si>
  <si>
    <t>Kamba Rico</t>
  </si>
  <si>
    <t>O único portal angolano dedicado a Educação Financeira.
A nossa missão é levar a Educação Financeira a todos os lares angolanos! 😊💰💪 clica e sabe mais</t>
  </si>
  <si>
    <t>discipulosmidas</t>
  </si>
  <si>
    <t>Discípulos de Midas</t>
  </si>
  <si>
    <t>⭐️Supere Limites, alcance Liberdade Financeira e Intelectual no Futebol!
🧠 Mudamos a mente de milhares de Investidores
👇Faça parte da Revolução👇</t>
  </si>
  <si>
    <t>defensoria_rj</t>
  </si>
  <si>
    <t>Defensoria Pública do Rio de Janeiro</t>
  </si>
  <si>
    <t>Garanta seus direitos conosco.
Informações sobre nossa atuação 👇</t>
  </si>
  <si>
    <t>euedinheiro</t>
  </si>
  <si>
    <t>Eu &amp; Dinheiro</t>
  </si>
  <si>
    <t>Aqui vamos te ensinar o que você precisa saber sobre dinheiro e finanças 💰💲de maneira simples e descomplicada 🤑
https://t.co/4ZaTqAv0SJ</t>
  </si>
  <si>
    <t>crediembrapa</t>
  </si>
  <si>
    <t>Sicoob CrediEmbrapa</t>
  </si>
  <si>
    <t>Somos uma cooperativa de crédito de livre admissão, integrante do Sicoob, o maior sistema de cooperativas de crédito do país.</t>
  </si>
  <si>
    <t>financialstream</t>
  </si>
  <si>
    <t>Finanças Stream</t>
  </si>
  <si>
    <t>Finanças, economia e mais.</t>
  </si>
  <si>
    <t>focanoimposto</t>
  </si>
  <si>
    <t>Allan Fernandes</t>
  </si>
  <si>
    <t>Imposto é roubo? Vamos explicar alguns temas e ajudar os Micro e Pequenos Empresários no Brasil!</t>
  </si>
  <si>
    <t>explibertario</t>
  </si>
  <si>
    <t>Expresso &amp; Liberdade</t>
  </si>
  <si>
    <t>Aqui você encontra um pouco de tudo: desde reflexões sobre a vida até traduções de perfis interessantes. Somos o Expresso &amp; Liberdade</t>
  </si>
  <si>
    <t>inovacao_lean</t>
  </si>
  <si>
    <t>iLean - Gestão de Resultados</t>
  </si>
  <si>
    <t>🧗‍♂️ Alta Perfomance em Gestão
🚀 Conquiste 5 anos de Lucro e Resultados em 1
🏆 Melhor Consultoria Sebrae | +1000 empresas
Simplificando o 🌎 dos negócios</t>
  </si>
  <si>
    <t>barbainveste</t>
  </si>
  <si>
    <t>Barba investe</t>
  </si>
  <si>
    <t>📊 Invista seu dinheiro!                                         🏋️‍♀️ Invista em sua saúde!                                    🧠 Invista em conhecimento!</t>
  </si>
  <si>
    <t>paraminvest</t>
  </si>
  <si>
    <t>PARAM INVESTOPEDIA PRIVATE LIMITED</t>
  </si>
  <si>
    <t>- AMFI REGISTERED👩‍🎓
- INVESTMENT CONSULTANT 💵
-info@paraminvest.in ✉️
-+91 8369521112 📲</t>
  </si>
  <si>
    <t>diogorugeroni</t>
  </si>
  <si>
    <t>Diogo Rugeroni</t>
  </si>
  <si>
    <t>Tudo sobre literacia financeira, desenvolvimento pessoal e marketing digital.</t>
  </si>
  <si>
    <t>bruvelloso</t>
  </si>
  <si>
    <t>Bruno Velloso ⚡</t>
  </si>
  <si>
    <t>💸 Entenda suas finanças na era digital 
🍄 Viciado em esportes 
🪙 Estudo #bitcoin desde 2015
🦄 Criador da bCripto</t>
  </si>
  <si>
    <t>bancodonordeste</t>
  </si>
  <si>
    <t>Banco do Nordeste</t>
  </si>
  <si>
    <t>Desenvolvimento e sustentabilidade. Há 71 anos, sempre em frente para a Região acelerar. Perfil oficial.</t>
  </si>
  <si>
    <t>brennerdelfino</t>
  </si>
  <si>
    <t>Brenner Delfino</t>
  </si>
  <si>
    <t>Consultor Financeiro 💰
Especialista em Score Baixo 🎯
liberação de crédito:
cartão 💳
Financiamento 🚘
Empréstimo 💸</t>
  </si>
  <si>
    <t>jacoagirafa</t>
  </si>
  <si>
    <t>Jacó a girafa das Finanças</t>
  </si>
  <si>
    <t>Saia do caos financeiro e encontre a estabilidade e a paz que você tanto deseja!</t>
  </si>
  <si>
    <t>vi_ruscito</t>
  </si>
  <si>
    <t>Vinicius R. Ruscito</t>
  </si>
  <si>
    <t>Boas empresas, que pagam bons dividendos, a bons preços. Simples assim!</t>
  </si>
  <si>
    <t>tiago_roberto_</t>
  </si>
  <si>
    <t>TiagoRobertoFinancas</t>
  </si>
  <si>
    <t>🧑🏾‍💼Administrador
💰Mentor de Investimentos
💎Idealizador da Comunidade⤵️
⚔️Investidores da Liberdade
⚔️Seja membro gratuitamente⤵️</t>
  </si>
  <si>
    <t>oluizbaur</t>
  </si>
  <si>
    <t>Luiz Baur</t>
  </si>
  <si>
    <t>fabi_b_amador</t>
  </si>
  <si>
    <t>Fabiana Bernardes</t>
  </si>
  <si>
    <t>netorebello1</t>
  </si>
  <si>
    <t>Neto Rebello</t>
  </si>
  <si>
    <t>Ajudo pessoas comuns a perderem o medo de começar a investir 📈🚀</t>
  </si>
  <si>
    <t>paulonodigital</t>
  </si>
  <si>
    <t>Paulo | Marketing Digital | Finanças</t>
  </si>
  <si>
    <t>🙅‍♂️Marketing Digital |Finanças e empreendedorismo 💰de negativado a investidor 👨‍💻 Empreendendo no digital e faturando Conteúdo no YouTube👇🏽</t>
  </si>
  <si>
    <t>dielison_</t>
  </si>
  <si>
    <t>Diélison Demíx</t>
  </si>
  <si>
    <t>🏫 #Estudante de #economia na #PUCCampinas
💚 #Vegan
💚 #Papai da #JulietteDemíx
💲 #Criptomoedas
💸 #Bitcoin
💸 #XMR
❤️ #Monero</t>
  </si>
  <si>
    <t>fabiooliveira18</t>
  </si>
  <si>
    <t>Fábio Oliveira | CFEd®</t>
  </si>
  <si>
    <t>Jesus meu Amor Maior🙏🙌 Esposo de Rebeca😍 Pai de Letícia 😘 Educador Financeiro💵 Ajudar o próximo minha missão😀</t>
  </si>
  <si>
    <t>123passei</t>
  </si>
  <si>
    <t>123 Passei</t>
  </si>
  <si>
    <t>Perfil Oficial da 123 Passei! 😉 | O direcionamento que você precisa para estudar tudo que importa! 🥇</t>
  </si>
  <si>
    <t>sonartrade</t>
  </si>
  <si>
    <t>SonarTrade</t>
  </si>
  <si>
    <t>SonarTrade: Seu marketplace de recomendações e copy trading de trades e carteiras. Potencialize sua rentabilidade com insights de experts na palma da mão! 📈📲</t>
  </si>
  <si>
    <t>econovisao</t>
  </si>
  <si>
    <t>EconoVisão</t>
  </si>
  <si>
    <t>📊ECONOVISÃO💡
🌐|Economia 
📉|Investimentos 
💰|Finanças</t>
  </si>
  <si>
    <t>tradervlog</t>
  </si>
  <si>
    <t>TraderVlog</t>
  </si>
  <si>
    <t>Trading XAUUSD 🔥  — Análises, Dicas e Estratégias de Trading  — Sinais Gratuitos XAUUSD no primeiro link abaixo 👇  — Posts como Referência Educacional</t>
  </si>
  <si>
    <t>businessjrvc</t>
  </si>
  <si>
    <t>JRVC Business Solutions</t>
  </si>
  <si>
    <t>Consultoria Estratégica</t>
  </si>
  <si>
    <t>danielg_s6</t>
  </si>
  <si>
    <t>Daniel φ</t>
  </si>
  <si>
    <t>#DataScientist #Finance
#AI #ChatGPT #Mercado #Câmbio
It is scientific only to say what is more likely and what less likely, and not to be proving all the time.</t>
  </si>
  <si>
    <t>indigoinstituto</t>
  </si>
  <si>
    <t>Índigo Instituto</t>
  </si>
  <si>
    <t>Instituto de Inovação e Governança</t>
  </si>
  <si>
    <t>minteredu</t>
  </si>
  <si>
    <t>Minter | Educação Financeira</t>
  </si>
  <si>
    <t>💲| 𝙵𝚒𝚗𝚊𝚗ç𝚊𝚜 𝚙𝚊𝚛𝚊 𝚝𝚘𝚍𝚘𝚜
💥| 𝙳𝚘𝚖𝚒𝚗𝚎 𝚏𝚒𝚗𝚊𝚗ç𝚊𝚜 𝚎 𝚏𝚊ç𝚊 𝚋𝚘𝚊𝚜 𝚎𝚜𝚌𝚘𝚕𝚑𝚊𝚜
⬇️| 𝚅𝚒𝚜𝚒𝚝𝚎 https://t.co/pkS0sEMfzD</t>
  </si>
  <si>
    <t>pedrofagundes</t>
  </si>
  <si>
    <t>Pedro Fagundes</t>
  </si>
  <si>
    <t>MBA Investimentos e Private Banking. Fluzão!
Instagram: https://t.co/PpxLZNA1pX</t>
  </si>
  <si>
    <t>bynessantos</t>
  </si>
  <si>
    <t>Inês Santos</t>
  </si>
  <si>
    <t>simonramosbr</t>
  </si>
  <si>
    <t>Simon BR</t>
  </si>
  <si>
    <t>💵 Empreendedor Digital📱Gestor de Tráfego ADS 👨‍👩‍👧 Pai da Manu 💕</t>
  </si>
  <si>
    <t>theholderinvest</t>
  </si>
  <si>
    <t>The Holder Investor®</t>
  </si>
  <si>
    <t>“O conhecimento está disperso pela sociedade” ~Friedrich Hayek.</t>
  </si>
  <si>
    <t>gutemberggjaa</t>
  </si>
  <si>
    <t>Gutemberg 💥</t>
  </si>
  <si>
    <t>🤙🏽</t>
  </si>
  <si>
    <t>realpauloborba</t>
  </si>
  <si>
    <t>Paulo Borba</t>
  </si>
  <si>
    <t>https://t.co/xIxV1zsRqu</t>
  </si>
  <si>
    <t>_abrates</t>
  </si>
  <si>
    <t>ABRATES</t>
  </si>
  <si>
    <t>A Associação Brasileira de Tradutores e Intérpretes foi fundada nos anos 70 para promover os profissionais e a profissão.</t>
  </si>
  <si>
    <t>grm88765974grm</t>
  </si>
  <si>
    <t>Gabriel Costa</t>
  </si>
  <si>
    <t>Falo de finanças e motivação para ajudar você a alcançar a liberdade financeira
#GanharDinheiroOnline #RendaExtra
#TrabalhoEmCasa #EmpreendedorismoDigital</t>
  </si>
  <si>
    <t>muriloabacherli</t>
  </si>
  <si>
    <t>Murilo A. de Camargo</t>
  </si>
  <si>
    <t>Deveria estar fazendo divulgação científica, mas tô aqui pra reclamar.</t>
  </si>
  <si>
    <t>beieducacao</t>
  </si>
  <si>
    <t>BEĨ Educação</t>
  </si>
  <si>
    <t>Conteúdo com propósito!
Projetos educacionais com foco em experiências transformadoras.</t>
  </si>
  <si>
    <t>academiaalphapt</t>
  </si>
  <si>
    <t>Academia Alpha</t>
  </si>
  <si>
    <t>Empreendedor | Cripto Moedas | Startup's | Healthy Life style |</t>
  </si>
  <si>
    <t>osdadosmostram</t>
  </si>
  <si>
    <t>O que os dados mostram?</t>
  </si>
  <si>
    <t>Faço análise de dados, resumo notícias e compartilho tudo no Twitter. Falo sobre #economia, #mercadofinanceiro, #dados  e #educação. Sejam bem-vindos!!!</t>
  </si>
  <si>
    <t>rosaangelahenr2</t>
  </si>
  <si>
    <t>ROSA Angela Henrique</t>
  </si>
  <si>
    <t>sou escolhida por DEUS</t>
  </si>
  <si>
    <t>sbellomo1995</t>
  </si>
  <si>
    <t>Samuel Bellomo</t>
  </si>
  <si>
    <t>💊 | Sua dose diaria de Inteligencia Financeira</t>
  </si>
  <si>
    <t>bnbcryptobonus</t>
  </si>
  <si>
    <t>Binance_Bonus</t>
  </si>
  <si>
    <t>Ganhe bônus de 20% nas taxas em todas as transações na Binance.
Crie sua conta agora https://t.co/a0cnzV8WBa</t>
  </si>
  <si>
    <t>futureproof_wma</t>
  </si>
  <si>
    <t>Future Proof</t>
  </si>
  <si>
    <t>Focused on goals-based #FinancialPlanning, Future Proof is an investment services platform geared towards #FinancialAdvising and #RiskManagement.</t>
  </si>
  <si>
    <t>anderson_crc</t>
  </si>
  <si>
    <t>Anderson Silva</t>
  </si>
  <si>
    <t>🇧🇷🇺🇸Em busca de ser uma pessoa melhor. GRATIDÃO SEMPRE. 🙏🏽🦾🙌🏽</t>
  </si>
  <si>
    <t>almepoupa</t>
  </si>
  <si>
    <t>Alme de Oliveira</t>
  </si>
  <si>
    <t>Dicas práticas de organização financeira para alcançar seus objetivos e viver bem.</t>
  </si>
  <si>
    <t>borafalardguito</t>
  </si>
  <si>
    <t>Bora Falar de Guito</t>
  </si>
  <si>
    <t>Finanças pessoais, empreendedorismo e investimentos.</t>
  </si>
  <si>
    <t>sicoobfluminen</t>
  </si>
  <si>
    <t>Sicoob Fluminense</t>
  </si>
  <si>
    <t>Cooperativa de crédito.  
Somos uma Instituição Financeira Cooperativa.
Nossa missão é gerar soluções financeiras adequadas e sustentáveis.</t>
  </si>
  <si>
    <t>edufinanceiramz</t>
  </si>
  <si>
    <t>Educação Financeira 💰 | 🇲🇿</t>
  </si>
  <si>
    <t>🏃🏾‍♂️ • Corra já pelas suas finanças! 
🎯 • Ajudamos-lhe a gerir melhor o seu dinheiro.
🚀 • O 1.º e maior projecto de educação financeira em Moçambique 🇲🇿</t>
  </si>
  <si>
    <t>consultoramadii</t>
  </si>
  <si>
    <t>Gabriel Amadi</t>
  </si>
  <si>
    <t>🏦 Gerente Financeiro na Black Promotora
💰 Especialista em soluções financeiras
📈 Ajudando pessoas a alcançarem seus objetivos financeiros
🎓 MBA em Finanças</t>
  </si>
  <si>
    <t>assessoremanuel</t>
  </si>
  <si>
    <t>Emanuel Cavalcanti - Assessor de Investimentos</t>
  </si>
  <si>
    <t>Sócio da Convexa Investimentos, escritório de investimentos contratado pelo Banco BTG Pactual, Maior Banco de Investimentos da América Latina.</t>
  </si>
  <si>
    <t>adcamenhe</t>
  </si>
  <si>
    <t>Adriano Camenhe</t>
  </si>
  <si>
    <t>Economista📈 Mestrando em Contabilidade, Fiscalidade e Finanças💹Designer há 10 anos🖌️Consultor de Marketing e de Finanças👨‍💼💼 Amo música🎧 e o digital💻</t>
  </si>
  <si>
    <t>zoomdinheiro</t>
  </si>
  <si>
    <t>Zoom Dinheiro</t>
  </si>
  <si>
    <t>Simplificamos sua jornada financeira. Conheça o Zoom Dinheiro e aprenda sobre finanças pessoais, crédito, seguros, contas, investimentos e muito mais.</t>
  </si>
  <si>
    <t>umpapoqualquer</t>
  </si>
  <si>
    <t>Podcast Um Papo Qualquer</t>
  </si>
  <si>
    <t>Podcast Um Papo Qualquer... Desde 2017, a voz do UBQ na Podosfera! Conhecimento, opinião e entretenimento para você.</t>
  </si>
  <si>
    <t>bancosemear</t>
  </si>
  <si>
    <t>SYD do SEMEAR</t>
  </si>
  <si>
    <t>Existimos para semear relações duradouras e de confiança por meio de uma atuação transparente, acreditando nos valores humanos.</t>
  </si>
  <si>
    <t>teofilomartinst</t>
  </si>
  <si>
    <t>Teófilo Martins</t>
  </si>
  <si>
    <t>Cripto Tutor
Ajudo qualquer pessoa a compreender o mundo das Criptomoedas
Sessões personalizadas 1:1</t>
  </si>
  <si>
    <t>flavia_pribeiro</t>
  </si>
  <si>
    <t>Flavia Ribeiro</t>
  </si>
  <si>
    <t>👸🏾Presidente da OAB Mulher 🦸🏾‍♀️ Assessora Chefe do Jurídico da MãeData Thais Ferreira 👩🏾‍💼Advogada ⚖️ Fundadora do Frente Favela Brasil 🇧🇷</t>
  </si>
  <si>
    <t>cvmeducacional</t>
  </si>
  <si>
    <t>CVM Educacional</t>
  </si>
  <si>
    <t>Este é um canal exclusivamente educacional. Para atendimento individual, acesse o menu Atendimento no site da CVM (https://t.co/aDqo0I6UqJ).</t>
  </si>
  <si>
    <t>diogocavalcante</t>
  </si>
  <si>
    <t>Diogo Cavalcante</t>
  </si>
  <si>
    <t>revistacoletiva</t>
  </si>
  <si>
    <t>Revista Coletiva</t>
  </si>
  <si>
    <t>Revista digital de divulgação científica e cultural, editada pela Fundação Joaquim Nabuco (Fundaj). https://t.co/fNxUavVE7F</t>
  </si>
  <si>
    <t>rafael__costa__</t>
  </si>
  <si>
    <t>Rafael Costa</t>
  </si>
  <si>
    <t>Conteúdo sobre investimentos no Brasil e exterior</t>
  </si>
  <si>
    <t>tiagokeilerr</t>
  </si>
  <si>
    <t>tiagokeiler</t>
  </si>
  <si>
    <t>Investidor 📊</t>
  </si>
  <si>
    <t>receitafederal</t>
  </si>
  <si>
    <t>Receita Federal</t>
  </si>
  <si>
    <t>Atuamos com o objetivo de prover o Estado de recursos para garantir o bem-estar social.</t>
  </si>
  <si>
    <t>manoeldelpiero</t>
  </si>
  <si>
    <t>Manoel Ferreira de Vasconcellos Del Piero Rodrigue</t>
  </si>
  <si>
    <t>adv_wesleycesar</t>
  </si>
  <si>
    <t>Wesley Advogado</t>
  </si>
  <si>
    <t>A ética é um valor fundamental em todas as minhas atividades.</t>
  </si>
  <si>
    <t>bragaeconomics</t>
  </si>
  <si>
    <t>Perfil que traz conteúdo educativo, sobre educação financeira; investimentos; e assuntos importantes da economia.
#bragaeconomics</t>
  </si>
  <si>
    <t>pravaler</t>
  </si>
  <si>
    <t>Pravaler</t>
  </si>
  <si>
    <t>Financie sua faculdade, acumule com bolsa e pague menos por mês!</t>
  </si>
  <si>
    <t>livrosemresumo</t>
  </si>
  <si>
    <t>Resumo de Livros</t>
  </si>
  <si>
    <t>Resumos literários para sua dose rápida de conhecimento e aventura. 📚✨</t>
  </si>
  <si>
    <t>ivipcoin</t>
  </si>
  <si>
    <t>iVipCoin</t>
  </si>
  <si>
    <t>Token with the aim of treating each trader in a unique way and bringing everything he needs and needs in the financial market. Come be a part, be iVip.</t>
  </si>
  <si>
    <t>realvictorhugog</t>
  </si>
  <si>
    <t>Victor Hugo Garcia</t>
  </si>
  <si>
    <t>vincopontovc</t>
  </si>
  <si>
    <t>Vinco Exchange</t>
  </si>
  <si>
    <t>VINCO é a plataforma que une educação e investimentos em criptoativos. Feito para investidores de todos os níveis! #VINCO</t>
  </si>
  <si>
    <t>Dois amigos, dois médicos, investindo em renda variável em busca da liberdade financeira!</t>
  </si>
  <si>
    <t>resultadossus</t>
  </si>
  <si>
    <t>Resultados Sustentaveis 🌎</t>
  </si>
  <si>
    <t>"🌍 Impulsionando a transformação sustentável nas organizações. 🌱 Especialistas em ESG, B Corp e ODS da ONU. 💡 Fornecemos soluções tecnológicas, análise de da</t>
  </si>
  <si>
    <t>islenoaraujo</t>
  </si>
  <si>
    <t>Isleno Araújo, CFP®</t>
  </si>
  <si>
    <t>Academia de Administração 👨🏻‍🎓| Católico ⛪ | Mercado Financeiro 📈| Certificado ANBIMA - CPA 20 | CEA | CFP®</t>
  </si>
  <si>
    <t>danielsouzafp</t>
  </si>
  <si>
    <t>Daniel Souza</t>
  </si>
  <si>
    <t>Investidor desde 2006. Deixei um concurso público para viver meu sonho 🗽Escritor e Mestre em Finanças. Insta: @financaspessoais YouTube: Finanças Pessoais</t>
  </si>
  <si>
    <t>investoetf</t>
  </si>
  <si>
    <t>Investo</t>
  </si>
  <si>
    <t>Somos a primeira gestora independente do Brasil focada em #ETFs. E queremos tornar o brasileiro um investidor global🌎 #ETFs #USTK11</t>
  </si>
  <si>
    <t>euluisconsultor</t>
  </si>
  <si>
    <t>Luís Fernando Gomes Diniz</t>
  </si>
  <si>
    <t>▪️Especializado em ajudar pessoas a cuidar de sua vida financeira de forma personalizada. 📈▪️
▫️ Trazendo soluções além do dinheiro para sua vida🔑 ▫️</t>
  </si>
  <si>
    <t>ojoaoulisses</t>
  </si>
  <si>
    <t>João Ulisses</t>
  </si>
  <si>
    <t>Investidor, Torcedor do São Paulo e Nerd nas horas vagas | Bora aprender mais sobre investimentos!</t>
  </si>
  <si>
    <t>andrewerneck_</t>
  </si>
  <si>
    <t>André Werneck</t>
  </si>
  <si>
    <t>Educador e consultor financeiro Techfinance</t>
  </si>
  <si>
    <t>thiagobudni</t>
  </si>
  <si>
    <t>Thiago Budni</t>
  </si>
  <si>
    <t>📚 Sapere Aude
👨🏼‍💼 Assessor de Investimentos
🏢 Nortus Investimentos - XP</t>
  </si>
  <si>
    <t>educandoseubols</t>
  </si>
  <si>
    <t>Educando Seu Bolso</t>
  </si>
  <si>
    <t>Conheça nossos podcasts, rankings, reviews, atendimento e calculadoras gratuitas. Além dos cursos e livro sobre finanças pessoais. Tudo sem financês! 👇</t>
  </si>
  <si>
    <t>tai_follmann</t>
  </si>
  <si>
    <t>Tainara Follmann</t>
  </si>
  <si>
    <t>Uma colorada apaixonada
Especialista em Gestão Comercial e Marketing Digital
CEO: Sincronizze Marketing Digital
Instagram: taifollmann</t>
  </si>
  <si>
    <t>_oiisaias</t>
  </si>
  <si>
    <t>lsaias sousa de Melo.</t>
  </si>
  <si>
    <t>O infinito mundo #Administrativo e #organizacional.
Um Estudante de #ADM Focado no que tange o #comportamento humano nas organizações e no desempenho Funcional.</t>
  </si>
  <si>
    <t>keepgrowing_</t>
  </si>
  <si>
    <t>Keep Growing</t>
  </si>
  <si>
    <t>Você tem o sonho ✨, nós temos o conhecimento💡 para transformá-lo em realidade.
Venha aprender os SEGREDOS do SUCESSO!
Visite nosso site
https://t.co/c6QGORXc0J</t>
  </si>
  <si>
    <t>paladinrood</t>
  </si>
  <si>
    <t>Paladin 🎖</t>
  </si>
  <si>
    <t>https://t.co/sZb9GKqU6w</t>
  </si>
  <si>
    <t>otaciotrader</t>
  </si>
  <si>
    <t>Otácio Neto</t>
  </si>
  <si>
    <t>Deus me transformou e eu estou aqui para servir e ajudar o próximo❕</t>
  </si>
  <si>
    <t>marceloamartino</t>
  </si>
  <si>
    <t>Marcelo Martino</t>
  </si>
  <si>
    <t>sicoob</t>
  </si>
  <si>
    <t>Sicoob</t>
  </si>
  <si>
    <t>Fazer mais que uma escolha financeira é decidir crescer junto, transformando a vida de pessoas por todo o Brasil. Abra a sua conta e venha ser dono. 💚</t>
  </si>
  <si>
    <t>dompotiguaroct</t>
  </si>
  <si>
    <t>Potiguar.eth</t>
  </si>
  <si>
    <t>Cavaleiro da Ordem da Torre, do Mérito Civil e Militar, do Valor Artístico e Tecnológico.</t>
  </si>
  <si>
    <t>napoleaoadv</t>
  </si>
  <si>
    <t>Flávio Napoleão</t>
  </si>
  <si>
    <t>Lawyer | CertiProf LGPDF Certified | Former Software Developer| Blockchain Enthusiast | Estonian e-Resident | Homeschooler | Kitesurfing &amp; Scuba Diving</t>
  </si>
  <si>
    <t>achadosdomark</t>
  </si>
  <si>
    <t>Achados de Marketing</t>
  </si>
  <si>
    <t>Somos uma empresa voltada para o marketing digital. Foco em divulgar produtos que serão de utilidade</t>
  </si>
  <si>
    <t>rodrigo_asena</t>
  </si>
  <si>
    <t>Rodrigo Sena</t>
  </si>
  <si>
    <t>Gestor Oil&amp;Gas, Empresário, Observador, Crítico, Ousado, Engenheiro, Pai e Marido. Service Delivery, Educação, Negócios, Finanças, Notícia &amp; Política Global</t>
  </si>
  <si>
    <t>wiboocria_</t>
  </si>
  <si>
    <t>WibooCria</t>
  </si>
  <si>
    <t>A company specializing in Web3 solutions, with blockchain technology proficiency, focusing on the gaming and music industry retail, and agency markets. 🐸🚀</t>
  </si>
  <si>
    <t>ataorienta</t>
  </si>
  <si>
    <t>American Trading Academy - Brasil | Ricardo</t>
  </si>
  <si>
    <t>Vença nas Bolsas do Brasil ou dos EUA e conquiste Prosperidade Financeira!  Por Ricardo Vasconcellos, certificado CME Institute, Chicago, EUA.</t>
  </si>
  <si>
    <t>guerreirasgrena</t>
  </si>
  <si>
    <t>Guerreiras Grenás</t>
  </si>
  <si>
    <t>Twitter oficial da equipe de futebol feminino da Associação Ferroviária de Esportes, de Araraquara/SP. Bicampeã Brasileira (2014-2019)e Libertadores (2015-2020)</t>
  </si>
  <si>
    <t>felippe_analyst</t>
  </si>
  <si>
    <t>Felippe Lopes - Analista Financeiro</t>
  </si>
  <si>
    <t>CEO &amp; Founder
@FslGlobalsa
Apoios da #FSL 
@JPMorgan 
#XP 
#Rico</t>
  </si>
  <si>
    <t>cryptosight_</t>
  </si>
  <si>
    <t>CryptoSight</t>
  </si>
  <si>
    <t>Somos uma comunidade com a missão de guiar as pessoas à sua autonomia cripto.</t>
  </si>
  <si>
    <t>lafbraga</t>
  </si>
  <si>
    <t>Luiz Braga</t>
  </si>
  <si>
    <t>🤝 Te ajudo a organizar sua vida financeira de forma simples e estratégica.
📊 Saia das dívidas e gere renda extra com Investimentos.
💻 Acesse nosso site. 👇</t>
  </si>
  <si>
    <t>viniciusantosa</t>
  </si>
  <si>
    <t>Vinícius Amorim</t>
  </si>
  <si>
    <t>Educação financeira a essência da construção de uma vida próspera.</t>
  </si>
  <si>
    <t>romulobuniziol</t>
  </si>
  <si>
    <t>Romullo Buniziol</t>
  </si>
  <si>
    <t>Advogado e investidor.</t>
  </si>
  <si>
    <t>robsondionisio1</t>
  </si>
  <si>
    <t>Robson Dionisio</t>
  </si>
  <si>
    <t>📍 Planejamento Financeiro | 🎓 Administração ⏩ Gestão Financeira e Controladoria | Transformar vidas através da Educação Financeira.</t>
  </si>
  <si>
    <t>allan_arthuur</t>
  </si>
  <si>
    <t>Arthur Oliveira</t>
  </si>
  <si>
    <t>Tecnólogo em Radiologia hospitalar
Estudante de ciências econômicas
Estudante de ciência de dados
Estudante da metodologia Lean Six Sigma.</t>
  </si>
  <si>
    <t>workshopdantas</t>
  </si>
  <si>
    <t>🇧🇷 Conservador | 📺 Entretenimento | 🦁 Futebol
“E conhecereis a verdade e a verdade vos libertará.” João 8:32 - #SDV</t>
  </si>
  <si>
    <t>leveappbr</t>
  </si>
  <si>
    <t>Leve Investimentos</t>
  </si>
  <si>
    <t>The best investment app in Brazil | Invest in #Bitcoin, #stocks, #ETFs, among others. In one place, safely and Lightly. https://t.co/J1qDhJ5VAo</t>
  </si>
  <si>
    <t>salumc</t>
  </si>
  <si>
    <t>🆂🅰🅻🆄𝕏cogitatoris</t>
  </si>
  <si>
    <t>Memes. Science. Investing. Ideias em pó. Xeets that make💰. “𝕻𝖔𝖕𝖚𝖑𝖚𝖘 𝖒𝖚𝖙𝖆𝖗𝖊 𝖒𝖚𝖓𝖉𝖎“</t>
  </si>
  <si>
    <t>ourbooksbr</t>
  </si>
  <si>
    <t>Ourbooks</t>
  </si>
  <si>
    <t>O ambiente que conecta leitores que querem transformar suas vidas com livros que transformam vidas.</t>
  </si>
  <si>
    <t>redetvt</t>
  </si>
  <si>
    <t>Rede TVT</t>
  </si>
  <si>
    <t>⚠️ Apoie a TVT, vamos levar nosso sinal para todo o Brasil com o novo app de streaming: 
acesse https://t.co/6mjfGkWOcG ou acesse o QRCode do vídeo.</t>
  </si>
  <si>
    <t>comoreinventar</t>
  </si>
  <si>
    <t>Como Reinventar-se</t>
  </si>
  <si>
    <t>꧁𓊈𒆜🅵🅾🅻🅻🅾🆆𒆜𓊉꧂
Exibindo conteúdo de qualidade baseado em obras consagradas de autores renomados, ajudando você a alcançar a riqueza e a felicidade.</t>
  </si>
  <si>
    <t>haddad_fernando</t>
  </si>
  <si>
    <t>Fernando Haddad</t>
  </si>
  <si>
    <t>Ministro da Fazenda de Lula,  Ex-Ministro da Educação, Ex-Prefeito de São Paulo,  Professor da USP</t>
  </si>
  <si>
    <t>bscnews</t>
  </si>
  <si>
    <t>BSC News</t>
  </si>
  <si>
    <t>BSC News is the leading media platform for Decentralized Finance (DeFi) and Web3.</t>
  </si>
  <si>
    <t>estadaoeconomia</t>
  </si>
  <si>
    <t>Economia Estadão</t>
  </si>
  <si>
    <t>Twitter do site Economia &amp; Negócios do Estadão</t>
  </si>
  <si>
    <t>fernandatorreso</t>
  </si>
  <si>
    <t>FERNANDA TORRES OCHO</t>
  </si>
  <si>
    <t>degiro</t>
  </si>
  <si>
    <t>DEGIRO</t>
  </si>
  <si>
    <t>Make the most out of your investments with our low fees and award-winning platform.
Investing involves a risk of loss.</t>
  </si>
  <si>
    <t>marcesemasch</t>
  </si>
  <si>
    <t>Marcese Maschietto</t>
  </si>
  <si>
    <t>Fundador do canal Dinheirando
Todo mundo pode ter dinheiro sobrando no fim do mês, inclusive você!</t>
  </si>
  <si>
    <t>1bilhao_</t>
  </si>
  <si>
    <t>Fabrizio Gueratto | 1Bilhão</t>
  </si>
  <si>
    <t>Colunista de investimentos do Estadão &amp; criador do 1Bilhão Educação Financeira. #MétodoMR2</t>
  </si>
  <si>
    <t>jornalistavitor</t>
  </si>
  <si>
    <t>Vitor Santos</t>
  </si>
  <si>
    <t>VITOR SANTOS é jornalista,escritor, consultor, pesquisador, e autor de vários artigos Facebook https://t.co/zr7gpVta8X…</t>
  </si>
  <si>
    <t>economesteter</t>
  </si>
  <si>
    <t>Henrique Esteter</t>
  </si>
  <si>
    <t>🥇Top 10 Influencers do Mercado -Anbima Especialista @infomoney 🎙Podcaster @stockpickers_ 🤝Parcerias: economesteter@gmail.com</t>
  </si>
  <si>
    <t>pedrosa</t>
  </si>
  <si>
    <t>Lucas Pedrosa</t>
  </si>
  <si>
    <t>Comentarista do @sbt_sports e da @cazetvoficial. Opinião e informação. Uma não existe sem a outra. 📰 Inscreva-se no https://t.co/jUF3T9g5qU 🎙</t>
  </si>
  <si>
    <t>consedbr</t>
  </si>
  <si>
    <t>Consed</t>
  </si>
  <si>
    <t>Eu sou o Conselho Nacional de Secretários de Educação e tuíto sobre as redes estaduais de ensino</t>
  </si>
  <si>
    <t>valoreconomico</t>
  </si>
  <si>
    <t>Valor Econômico</t>
  </si>
  <si>
    <t>A mais completa e admirada cobertura de economia, negócios e finanças. Notícias que geram negócios.</t>
  </si>
  <si>
    <t xml:space="preserve">Não </t>
  </si>
  <si>
    <t>estadao</t>
  </si>
  <si>
    <t>Estadão 🗞️</t>
  </si>
  <si>
    <t>A versão online do jornal O Estado de S. Paulo. Acompanhe também as atualizações pelo Instagram: https://t.co/hGsLKgFw9w</t>
  </si>
  <si>
    <t>caiovilella</t>
  </si>
  <si>
    <t>Caio Vilella</t>
  </si>
  <si>
    <t>Professor de Macroeconomia |  Doutor em economia pela UFRJ | Tento falar de teoria econômica de uma maneira mais simples. Nem sempre consigo.</t>
  </si>
  <si>
    <t>investfrugal</t>
  </si>
  <si>
    <t>Investidor Frugal</t>
  </si>
  <si>
    <t>Missão: Partilhar conhecimento que permita melhorar o bem-estar financeiro dos meus leitores. Finanças Pessoais em português.</t>
  </si>
  <si>
    <t>jessiviesil</t>
  </si>
  <si>
    <t>Jéssica Vieira</t>
  </si>
  <si>
    <t>❥ Jornalista, taurina, baixa visão, mestre em Linguística e em falar pelos cotovelos! 🤭 A humana da Zoé 🦮</t>
  </si>
  <si>
    <t>arezzo</t>
  </si>
  <si>
    <t>Arezzo</t>
  </si>
  <si>
    <t>Twitter oficial @arezzo</t>
  </si>
  <si>
    <t>brunodabrantes</t>
  </si>
  <si>
    <t>Bruno Abrantes</t>
  </si>
  <si>
    <t>machotoxico_</t>
  </si>
  <si>
    <t>Gonçalo Sousa</t>
  </si>
  <si>
    <t>Analista político, Empresário, Comunicólogo, Embaixador da Masculinidade Tóxica |
Canal de YouTube ⬇️</t>
  </si>
  <si>
    <t>terra__brasilis</t>
  </si>
  <si>
    <t>Terra Brasilis</t>
  </si>
  <si>
    <t>Notícias sobre Economia e outras coisas que acontecem lá no meu Brasil</t>
  </si>
  <si>
    <t>mattpontes</t>
  </si>
  <si>
    <t>Mateus Pontes</t>
  </si>
  <si>
    <t>-LOGIA</t>
  </si>
  <si>
    <t>edsontsjr</t>
  </si>
  <si>
    <t>Edson Teixeira</t>
  </si>
  <si>
    <t>Where ignorance is bliss, 'tis folly to be wise.</t>
  </si>
  <si>
    <t>vokininvest</t>
  </si>
  <si>
    <t>Vokin Investimentos</t>
  </si>
  <si>
    <t>A Vokin está presente em diversas plataforma de investimentos para você poder investir onde ficar mais confortável.</t>
  </si>
  <si>
    <t>let</t>
  </si>
  <si>
    <t>mblivre</t>
  </si>
  <si>
    <t>MBL - Movimento Brasil Livre</t>
  </si>
  <si>
    <t>O Movimento Brasil Livre é uma entidade suprapartidária que visa a mobilizar cidadãos em favor de uma sociedade mais livre, justa e próspera</t>
  </si>
  <si>
    <t>wboutlook</t>
  </si>
  <si>
    <t>World Business Outlook</t>
  </si>
  <si>
    <t>World Business outlook is a print and online magazine providing comprehensive coverage and analysis of the financial industry and international business.</t>
  </si>
  <si>
    <t>odonbezerraadv</t>
  </si>
  <si>
    <t>Odon Bezerra</t>
  </si>
  <si>
    <t>Um eterno aprendiz</t>
  </si>
  <si>
    <t>bancodobrasil</t>
  </si>
  <si>
    <t>Banco do Brasil</t>
  </si>
  <si>
    <t>Somos o banco que é fã e que apoia o brasileiro a alcançar tudo que imaginar.</t>
  </si>
  <si>
    <t>tarcisiogdf</t>
  </si>
  <si>
    <t>Tarcísio Gomes de Freitas</t>
  </si>
  <si>
    <t>Governador do Estado de São Paulo e ex-Ministro da Infraestrutura do governo do presidente Jair Bolsonaro.</t>
  </si>
  <si>
    <t>garotacrypto</t>
  </si>
  <si>
    <t>Valéria Garcia</t>
  </si>
  <si>
    <t>Advogada e investidora de criptomoedas. Lawyer and crypto girl from Brazil! 🇧🇷</t>
  </si>
  <si>
    <t>paulonbjr</t>
  </si>
  <si>
    <t>Paulo Nogueira Batista Jr.</t>
  </si>
  <si>
    <t>Economista, escritor, autor do livro “O Brasil não cabe no quintal de ninguém”. Foi vice-presidente do Novo Banco de Desenvolvimento estabelecido pelos Brics.</t>
  </si>
  <si>
    <t>grupomundoms</t>
  </si>
  <si>
    <t>GMM's</t>
  </si>
  <si>
    <t>Confira aqui tudo sobre os sites do Grupo @MundoMSOficial ©2011-2023 / Sigam @MultiMidiaInfo ©2017-2023
ANUNCIE:https://t.co/wavFP8GAHq</t>
  </si>
  <si>
    <t>petayres</t>
  </si>
  <si>
    <t>juridico pickpocket &amp; borseggiatrici</t>
  </si>
  <si>
    <t>Editor de vídeo | 28 | Cadelinha da Disney, morador de Westview e ex-New Directions | Opiniões pessoais only 🌈</t>
  </si>
  <si>
    <t>melhorrh</t>
  </si>
  <si>
    <t>Melhor RH</t>
  </si>
  <si>
    <t>Principal plataforma de conteúdo sobre Recursos Humanos, na Melhor RH conectamos pessoas, causas e propósitos.
https://t.co/2tGSRjjIEG…</t>
  </si>
  <si>
    <t>rankia</t>
  </si>
  <si>
    <t>Rankia.com</t>
  </si>
  <si>
    <t>Te ayudamos a tomar mejores decisiones financieras desde 2003. Comunidad financiera: #Bolsa, #FondosdeInversión #FinanzasPersonales, #EducaciónFinanciera</t>
  </si>
  <si>
    <t>ls_lenz</t>
  </si>
  <si>
    <t>Lenz</t>
  </si>
  <si>
    <t>editoraflyve</t>
  </si>
  <si>
    <t>Flyvinho, papagayo drácula</t>
  </si>
  <si>
    <t>Aqui é o Flyvinho! Empacotador de livros, entregador, secretário, leitor e auxiliar de marketing na Editora Flyve. Vem voar com a gente! 🎈</t>
  </si>
  <si>
    <t>robertopantojax</t>
  </si>
  <si>
    <t>Roberto Pantoja</t>
  </si>
  <si>
    <t>Cristão ANCAP l Te ajudo a construir uma marca do zero.</t>
  </si>
  <si>
    <t>ortizany</t>
  </si>
  <si>
    <t>ana ortiz</t>
  </si>
  <si>
    <t>wheelercrf</t>
  </si>
  <si>
    <t>ؘ</t>
  </si>
  <si>
    <t>will byers swiftie e flamenguista</t>
  </si>
  <si>
    <t>revistaoeste</t>
  </si>
  <si>
    <t>Revista Oeste</t>
  </si>
  <si>
    <t>paolacarvalho</t>
  </si>
  <si>
    <t>Paola Carvalho</t>
  </si>
  <si>
    <t>Escrevo sobre economia, inovação e tendências | Colunista da @claudiaonline, colaboradora @forbesbr, ex @abril @folha @estadodeminas</t>
  </si>
  <si>
    <t>duudaismo</t>
  </si>
  <si>
    <t>dx</t>
  </si>
  <si>
    <t>metade mulher metade chiclete de canela</t>
  </si>
  <si>
    <t>ericometzner</t>
  </si>
  <si>
    <t>Érico Metzner</t>
  </si>
  <si>
    <t>crypticweb3</t>
  </si>
  <si>
    <t>Cryptic</t>
  </si>
  <si>
    <t>Tudo sobre de Blockchain | Web3 | NFTS | Crypto Memes num sítio só: https://t.co/8KDUOWw3lK</t>
  </si>
  <si>
    <t>mozper_br</t>
  </si>
  <si>
    <t>Mais do que um cartão e conta digital para crianças e adolescentes, Mozper apoia os pais na #EducaçãoFinanceira de seus filhos.  #fintech #Brasil #MeuMozper</t>
  </si>
  <si>
    <t>cassius</t>
  </si>
  <si>
    <t>Cassius</t>
  </si>
  <si>
    <t>eucli_francisco</t>
  </si>
  <si>
    <t>Euclides Francisco</t>
  </si>
  <si>
    <t>📊 Empreendedor | Educador financeiro | Investidor</t>
  </si>
  <si>
    <t>bixarica_</t>
  </si>
  <si>
    <t>Gretta 🏳️‍🌈</t>
  </si>
  <si>
    <t>Educadora Financeira na empresa Bixa Rica</t>
  </si>
  <si>
    <t>seeducrj</t>
  </si>
  <si>
    <t>SEEDUC RJ</t>
  </si>
  <si>
    <t>Secretaria de Estado de Educação do Rio de Janeiro - Seeduc RJ</t>
  </si>
  <si>
    <t>anqep</t>
  </si>
  <si>
    <t>ANQEP</t>
  </si>
  <si>
    <t>A ANQEP, I.P. tem por missão coordenar a execução das políticas de educação e formação profissional de jovens e adultos</t>
  </si>
  <si>
    <t>linaseiche</t>
  </si>
  <si>
    <t>Lina Seiche</t>
  </si>
  <si>
    <t>Mommy of #TheLittleHODLer and his comics 🧡 HODLers, comic books &amp; more on my store 🎁 Travels: @TravelingHODLer 🧳 #LittleHODLer’s best friend: @Trezor 💚</t>
  </si>
  <si>
    <t>jornaldagazeta</t>
  </si>
  <si>
    <t>Jornal da Gazeta</t>
  </si>
  <si>
    <t>Jornal da Gazeta. De segunda a sexta, às 19h, ao vivo na TV Gazeta.</t>
  </si>
  <si>
    <t>globonews</t>
  </si>
  <si>
    <t>GloboNews</t>
  </si>
  <si>
    <t>Nunca desliga</t>
  </si>
  <si>
    <t>newscolina</t>
  </si>
  <si>
    <t>NewsColina</t>
  </si>
  <si>
    <t>O maior portal do Twitter sobre o Vasco da Gama | Contato e publicidade: newscolina@gmail.com 📨 | Parceiro @KTO_Brasil 🤝</t>
  </si>
  <si>
    <t>jcorreiodopovo</t>
  </si>
  <si>
    <t>Correio do Povo GRC</t>
  </si>
  <si>
    <t>Distribuição Gratuita Mogi Guaçu e Mogi Mirim!!! Todos os Sábados nas bancas e pontos de distribuição!</t>
  </si>
  <si>
    <t>obeconomia</t>
  </si>
  <si>
    <t>OBECON 🇧🇷 — Olimpíada Brasileira de Economia</t>
  </si>
  <si>
    <t>Olimpíada para Ensino Médio.
Fomentamos o ensino de Economia, Finanças, e Negócios.
Selecionamos para a IEO:
🥉2018
🥇2019
🥇2020
🥇2021
🥈2022</t>
  </si>
  <si>
    <t>cesartralli</t>
  </si>
  <si>
    <t>Cesar Tralli</t>
  </si>
  <si>
    <t>Jornalista. Apresentador do JH, na TV Globo. E do Edição das 18h, na Globonews. Repórter em tempo integral. 📺</t>
  </si>
  <si>
    <t>vivo</t>
  </si>
  <si>
    <t>serpro</t>
  </si>
  <si>
    <t>Serpro</t>
  </si>
  <si>
    <t>O Serviço Federal de Processamento de Dados é uma empresa pública de Tecnologia da Informação criada para modernizar e dar agilidade ao Estado brasileiro</t>
  </si>
  <si>
    <t>jnegocios</t>
  </si>
  <si>
    <t>Jornal de Negócios</t>
  </si>
  <si>
    <t>As #notícias mais relevantes nas áreas da #Economia, #Empresas e #Mercados. O Negócios tem as respostas: On time. On line. Nas bancas. Em qualquer lugar.</t>
  </si>
  <si>
    <t>sicnoticias</t>
  </si>
  <si>
    <t>SIC Notícias</t>
  </si>
  <si>
    <t>O como e o porquê das notícias de #ultimahora, a análise e a #opiniao que interessa. Siga #portugal e o mundo com a #sicnoticias</t>
  </si>
  <si>
    <t>governosp</t>
  </si>
  <si>
    <t>Governo de S. Paulo</t>
  </si>
  <si>
    <t>Twitter Oficial do Governo do Estado de São Paulo</t>
  </si>
  <si>
    <t>disney</t>
  </si>
  <si>
    <t>Disney</t>
  </si>
  <si>
    <t>Disney magic right at your fingertips! ✨</t>
  </si>
  <si>
    <t>disneyplusbr</t>
  </si>
  <si>
    <t>Disney+ Brasil</t>
  </si>
  <si>
    <t>Disney + Pixar + Marvel + Star Wars + National Geographic = #DisneyPlus 🤯
As melhores histórias do mundo em um só lugar. Já disponível.</t>
  </si>
  <si>
    <t>vascodagama</t>
  </si>
  <si>
    <t>Vasco da Gama</t>
  </si>
  <si>
    <t>Primeiro Campeão Continental do Mundo. 🏆💢 Todos os nossos perfis nas redes e iniciativas digitais. https://t.co/j1jZKOLWZy</t>
  </si>
  <si>
    <t>justiciafiscal</t>
  </si>
  <si>
    <t>Red de Justicia Fiscal ALC</t>
  </si>
  <si>
    <t>La #RJFALC busca fortalecer la acción de nuestros miembros, estimular intercambios de experiencias y propiciar la acción colectiva hacia un nuevo modelo fiscal.</t>
  </si>
  <si>
    <t>ijfiscal</t>
  </si>
  <si>
    <t>Inst. Justiça Fiscal</t>
  </si>
  <si>
    <t>O IJF tem por finalidade o aperfeiçoamento do sistema fiscal com vistas a torná-lo mais justo e capaz de contribuir para a redução das desigualdades sociais.</t>
  </si>
  <si>
    <t>afocefe</t>
  </si>
  <si>
    <t>Afocefe Sindicato</t>
  </si>
  <si>
    <t>Sindicato dos Técnicos Tributários da Receita Estadual</t>
  </si>
  <si>
    <t>inescoficial</t>
  </si>
  <si>
    <t>Inesc</t>
  </si>
  <si>
    <t>Há 44 anos, atuamos no monitoramento do #orçamentopúblico sob a ótica dos #direitoshumanos.</t>
  </si>
  <si>
    <t>tavicosta</t>
  </si>
  <si>
    <t>Otavio (Tavi) Costa</t>
  </si>
  <si>
    <t>Crescat Capital partner &amp; macro strategist. Native of Sao Paulo, Brazil 🇧https://t.co/YApL3RgjR8</t>
  </si>
  <si>
    <t>crescat_capital</t>
  </si>
  <si>
    <t>Crescat Capital</t>
  </si>
  <si>
    <t>Crescat is a global macro asset management firm. We strive to grow and protect wealth over time with low correlation to the S&amp;P 500. https://t.co/kw7etanXt4</t>
  </si>
  <si>
    <t>nuno_baio</t>
  </si>
  <si>
    <t>O Empreendedor</t>
  </si>
  <si>
    <t>Falo sobre negócios, gestão, inovação e partilho ideias!🧬
Business Developer |
Criador de Conteúdos |
Speaker |
Investidor | https://t.co/YwHAL1ShR0</t>
  </si>
  <si>
    <t>miltonneves</t>
  </si>
  <si>
    <t>Milton Neves</t>
  </si>
  <si>
    <t>Jornalista, Apresentador e Empresário @RBandeirantes  @radiobandnewsfm @UOLEsporte</t>
  </si>
  <si>
    <t>conciergebtc</t>
  </si>
  <si>
    <t>Concierge Bitcoin</t>
  </si>
  <si>
    <t>Consultoria focada em acelerar o seu entendimento de #bitcoin 
DMs abertas! Mande sua dúvida
Ou entre em contato: https://t.co/WkCFrvKI1k</t>
  </si>
  <si>
    <t>cz_binance</t>
  </si>
  <si>
    <t>CZ 🔶 Binance</t>
  </si>
  <si>
    <t>CEO @binance, holder of #bnb #btc</t>
  </si>
  <si>
    <t>polkadot</t>
  </si>
  <si>
    <t>Polkadot @Token2049</t>
  </si>
  <si>
    <t>The blockspace ecosystem for boundless innovation. Secure, composable, flexible, efficient &amp; cost effective. Powering the movement for a better web.</t>
  </si>
  <si>
    <t>realpolkabridge</t>
  </si>
  <si>
    <t>PolkaBridge | Decentralized P2P Exchange is Live🟢</t>
  </si>
  <si>
    <t>Decentralized all-in-one financial applications, now focusing on Decentralized P2P Platform: https://t.co/H6MsUbaVaM | Telegram: https://t.co/JHx2yzZ7rE</t>
  </si>
  <si>
    <t>tvgazetaoficial</t>
  </si>
  <si>
    <t>TV Gazeta</t>
  </si>
  <si>
    <t>Seja bem-vindo ao nosso perfil oficial! 🧡 Aqui você fica por dentro de tudo o que rola na Avenida Paulista 900.</t>
  </si>
  <si>
    <t>ibgecomunica</t>
  </si>
  <si>
    <t>IBGE Comunica</t>
  </si>
  <si>
    <t>Somos o Instituto Brasileiro de Geografia e Estatística, mas pode nos chamar de IBGE! Nosso trabalho é retratar o Brasil e os brasileiros.</t>
  </si>
  <si>
    <t>lulaoficial</t>
  </si>
  <si>
    <t>Lula</t>
  </si>
  <si>
    <t>Filho da Dona Lindu, marido da @JanjaLula, presidente da República. Trabalhando para reconstruir o Brasil.</t>
  </si>
  <si>
    <t>amagalhaesana</t>
  </si>
  <si>
    <t>Ana Laura Magalhães</t>
  </si>
  <si>
    <t>Em pausa de conteúdo de finanças 🚨 | TEDx Speaker | Forbes Under 30 | Women Force @NFTEVE_ &amp; Humana</t>
  </si>
  <si>
    <t>stealthelook</t>
  </si>
  <si>
    <t>STEAL THE LOOK</t>
  </si>
  <si>
    <t>Por aqui, oferecemos shots de memes, coberturas dos melhores red carpets, Harry Styles e tudo o que faz parte do nosso universo.✨</t>
  </si>
  <si>
    <t>nonoinvestidor</t>
  </si>
  <si>
    <t>Nonô, o Vovô Investidor</t>
  </si>
  <si>
    <t>▫️PhD em Loss pela StopLoss University / B3 🇧🇷▫️O melhor perfil de Humor do Mercado Financeiro ▫️Eu ensino como perder dinheiro!!!!!!▫️ CLICA AQUI👇🏼</t>
  </si>
  <si>
    <t>linaseiche_dm</t>
  </si>
  <si>
    <t>Creator of #TheLittleHODLer and his little comics. 🧡 Plushies now available for pre-order 🎁</t>
  </si>
  <si>
    <t>twetthiago</t>
  </si>
  <si>
    <t>Professor Thiago</t>
  </si>
  <si>
    <t>Developer,  Formado em T.I. Amante de Bossa Nova/MPB, Humorista, Treinador Pokémon. Meus tweets não correspondem à realidade #VaiCorinthians #Roxette #BonJovi</t>
  </si>
  <si>
    <t>tdmaoinvisivel</t>
  </si>
  <si>
    <t>Tapa da Mão Invisível</t>
  </si>
  <si>
    <t>Por @pcfuchs e @juliosantoslib | 🎓Política, economia e sociedade |🎙 Debatemos ideias com quem quer um Brasil mais livre | 👇+ de 250 podcasts GRATUITOS</t>
  </si>
  <si>
    <t>tiagogreis</t>
  </si>
  <si>
    <t>Tiago Guitián Reis</t>
  </si>
  <si>
    <t>📈@SunoResearch
⚙️@StatusInvestBR
🤑 Bolsa de Valores Descomplicada  👇</t>
  </si>
  <si>
    <t>roxmo</t>
  </si>
  <si>
    <t>Roger Rocha Moreira</t>
  </si>
  <si>
    <t>Rock and roller</t>
  </si>
  <si>
    <t>rmotta2</t>
  </si>
  <si>
    <t>Roberto Motta</t>
  </si>
  <si>
    <t>Engenheiro. Autor de 5 livros. Comentarista da @JovemPanNews. Ex-consultor do Banco Mundial e ex-Secretário de Estado. Pai. Instagram: @robertomottaoficial</t>
  </si>
  <si>
    <t>cnneconomia</t>
  </si>
  <si>
    <t>CNN Economia</t>
  </si>
  <si>
    <t>Você por dentro de tudo o que move a economia. Agora.
@CNNBrasil</t>
  </si>
  <si>
    <t>darlantd</t>
  </si>
  <si>
    <t>Darlan TD ★彡</t>
  </si>
  <si>
    <t>@Botafogo
@realmadrid
@warriors
@LulaOficial
TikTok: darlantd99
ID: darlantd</t>
  </si>
  <si>
    <t>choquei</t>
  </si>
  <si>
    <t>CHOQUEI</t>
  </si>
  <si>
    <t>A sua fonte de notícias mais rápida. Tudo sobre os acontecimentos mais recentes do Brasil e do mundo. Contato: assessoriachoquei@gmail.com</t>
  </si>
  <si>
    <t>ceciliaflesch</t>
  </si>
  <si>
    <t>Cecilia Flesch</t>
  </si>
  <si>
    <t>Comunicadora e definindo o resto!</t>
  </si>
  <si>
    <t>pfnery</t>
  </si>
  <si>
    <t>Pedro Fernando Nery</t>
  </si>
  <si>
    <t>Diretor de Assuntos Econômicos e Sociais da Vice-Presidência do @GovBR. Professor no @SejaIDP.</t>
  </si>
  <si>
    <t>aod_cunha</t>
  </si>
  <si>
    <t>Aod Cunha</t>
  </si>
  <si>
    <t>Doutor em economia. Ex secretario da fazenda do RS, MD do JP Morgan e colunista do @infomoney. Mais importante: colorado e pai da Victoria.</t>
  </si>
  <si>
    <t>folha</t>
  </si>
  <si>
    <t>Folha de S.Paulo</t>
  </si>
  <si>
    <t>Um jornal a serviço do Brasil
Newsletters: https://t.co/NVUcVDAjzm
Insta: https://t.co/ktjTHtETj7 
TikTok: https://t.co/EOgj84KB9l
Facebook: https://t.co/Iq0fS3e2sF
Assine: https://t.co/OJOZUvKPWW</t>
  </si>
  <si>
    <t>amanumanoela</t>
  </si>
  <si>
    <t>Manoela Dutra</t>
  </si>
  <si>
    <t>Mãe da Valentina e a louca do mundo financeiro. Prazer, Manoela!</t>
  </si>
  <si>
    <t>iecamarabahia</t>
  </si>
  <si>
    <t>Iê Camará Capoeira</t>
  </si>
  <si>
    <t>Iê Camará - #Capoeira #Angola - Aluna do Mestre e #Historiador (J. Farias - Angoleiro).</t>
  </si>
  <si>
    <t>marianasmkt</t>
  </si>
  <si>
    <t>mariana sensível 🚀💜</t>
  </si>
  <si>
    <t>✨marketing digital com preço acessível • 👩🏼‍💻sócia &amp; social media em @juniorartepallets no instagram • #marketingdigital</t>
  </si>
  <si>
    <t>econandreiaferr</t>
  </si>
  <si>
    <t>Andreia Ferreira 🦦</t>
  </si>
  <si>
    <t>🎶 Os dias vem e se vão
Na lavoura da vida
E o labor não é em vão  🎶</t>
  </si>
  <si>
    <t>vagasdesalvador</t>
  </si>
  <si>
    <t>Vagas de Emprego em Salvador, R Metropolitana e+</t>
  </si>
  <si>
    <t>Oportunidades em #Salvador/RM e...
(Não sou responsável pelas #vagas) https://t.co/O27gXsWL87
@vagasdesalvador 
🚩❤️🏳️‍🌈🏳️‍⚧️🏳</t>
  </si>
  <si>
    <t>linsdoceara</t>
  </si>
  <si>
    <t>Lins DoCeará🍞🌾💵 🇧🇷🌹</t>
  </si>
  <si>
    <t>#Soucearense, tenho um orgulho, pai d'égua de ser ,cearense  #sounordestino  https://t.co/oJhzEr1ftv</t>
  </si>
  <si>
    <t>gersonantunesc1</t>
  </si>
  <si>
    <t>Gerson Antunes Costa</t>
  </si>
  <si>
    <t>🇵🇹 👶🏽 Oeiras, 🏘 Lisboa, 👨🏽‍💻 @wetranslate_com, 🗳 @liberalpt, 🚲☀️🏖🛩🍷🗺🍽📖</t>
  </si>
  <si>
    <t>diogojorn</t>
  </si>
  <si>
    <t>Explicador-Geral da República</t>
  </si>
  <si>
    <t>Explico as notícias no @meexplicasite, faço o @respirobemestar, fui fellow no @youtube e @towknightcenter.</t>
  </si>
  <si>
    <t>roggia</t>
  </si>
  <si>
    <t>Daniel Roggia</t>
  </si>
  <si>
    <t>Eu sou do sul</t>
  </si>
  <si>
    <t>j_caio_r</t>
  </si>
  <si>
    <t>Julio Rodrigues</t>
  </si>
  <si>
    <t>jeelimajorge</t>
  </si>
  <si>
    <t>Jéssica de Lima</t>
  </si>
  <si>
    <t>jorgeag51888144</t>
  </si>
  <si>
    <t>Jorge Aguiar</t>
  </si>
  <si>
    <t>dillan__alves</t>
  </si>
  <si>
    <t>Dillan</t>
  </si>
  <si>
    <t>As vezes falo de mim e as vezes expresso uma idéia, nunca se sabe.
Tarólogo autodidata (Acredite no coração das cartas)</t>
  </si>
  <si>
    <t>guidottisilva</t>
  </si>
  <si>
    <t>Daniel Guidotti Silva</t>
  </si>
  <si>
    <t>Investidor e Educador de Investimento em Renda Variável</t>
  </si>
  <si>
    <t>entertainusnob</t>
  </si>
  <si>
    <t>NOB The Entertainer</t>
  </si>
  <si>
    <t>"Your unfiltered, irreverent Crypto Comedy King at your service. Unapologetically commanding laughs one roast at a time. Tag @EntertainUsNob for comedy gold.”</t>
  </si>
  <si>
    <t>ejlazzaretti</t>
  </si>
  <si>
    <t>Eduardo Lazzaretti, CFA</t>
  </si>
  <si>
    <t>☕️</t>
  </si>
  <si>
    <t>anastaciopbjpa</t>
  </si>
  <si>
    <t>comunicadordascomunidades</t>
  </si>
  <si>
    <t>emykey05</t>
  </si>
  <si>
    <t>Um jovem do Sambizanga 🇦🇴</t>
  </si>
  <si>
    <t>HÍBRIDO 🤖
coisas Bonitas https://t.co/B6anoj7YBm</t>
  </si>
  <si>
    <t>mblparana</t>
  </si>
  <si>
    <t>MBL Paraná</t>
  </si>
  <si>
    <t>⚖️Vamos #juntos #lutar pelo #Paraná que queremos faça parte do #MBLParana 🗣️</t>
  </si>
  <si>
    <t>islamicsummit</t>
  </si>
  <si>
    <t>Islamic Finance &amp; Banking Summit</t>
  </si>
  <si>
    <t>The 2nd Edition Islamic Finance and Banking Summit, KSA a strategic hybrid event, comes to Riyadh, Saudi Arabia after a successful ﬁrst edition in Dubai, UAE.</t>
  </si>
  <si>
    <t>camarajp</t>
  </si>
  <si>
    <t>Câmara Municipal de João Pessoa</t>
  </si>
  <si>
    <t>Perfil oficial da Casa do Povo.
Siga-nos e fique por dentro de tudo!</t>
  </si>
  <si>
    <t>gabrielaprocpi9</t>
  </si>
  <si>
    <t>Gabriela Procópio</t>
  </si>
  <si>
    <t>grdotrader</t>
  </si>
  <si>
    <t>Átila Leal</t>
  </si>
  <si>
    <t>Aqui escrevo sobre gerenciamento de risco no trading e o que me der vontade. ¯\_(ツ)_/¯</t>
  </si>
  <si>
    <t>agenciaestado</t>
  </si>
  <si>
    <t>Broadcast</t>
  </si>
  <si>
    <t>O melhor conteúdo para a sua tomada de decisão.</t>
  </si>
  <si>
    <t>lidialuciara</t>
  </si>
  <si>
    <t>Lidia Aleixo</t>
  </si>
  <si>
    <t>Consultora Financeira | Economia | Valuation</t>
  </si>
  <si>
    <t>dnavegacao</t>
  </si>
  <si>
    <t>MarcoAntonioNicolau 🥶</t>
  </si>
  <si>
    <t>puxe uma cadeira | pegue um café |
conte uma história | me ensine alguma coisa | um pouco de tudo</t>
  </si>
  <si>
    <t>francisinvicto</t>
  </si>
  <si>
    <t>FR money Matters</t>
  </si>
  <si>
    <t>CONTA PRINCIPAL  💸 VENDAS E DIVULGAÇÕES 💥FREELANCER 💼🤝 SOCIEDADE 📈 INVESTIMENTOS 📲💲MARKETING DIGITAL #TXP📨</t>
  </si>
  <si>
    <t>seakopt</t>
  </si>
  <si>
    <t>SeaKo</t>
  </si>
  <si>
    <t>Don't know yet!</t>
  </si>
  <si>
    <t>thiagorogel</t>
  </si>
  <si>
    <t>Thiago Rogel</t>
  </si>
  <si>
    <t>✝EuAmoJESUS ❤Deus &amp; família, Casado, SEP Palestrino, Apaixonado Vida: escrita, poesia, música e leitura inovação, negócios, futebol, entender shopper</t>
  </si>
  <si>
    <t>mariaap28183165</t>
  </si>
  <si>
    <t>Maria Aparecida</t>
  </si>
  <si>
    <t>Professora de educação in</t>
  </si>
  <si>
    <t>cryptoherobr</t>
  </si>
  <si>
    <t>Crypto Hero</t>
  </si>
  <si>
    <t>A startup que salva o dia de quem quer investir em cripto com praticidade, segurança e poucos cliques.</t>
  </si>
  <si>
    <t>centralcursoss</t>
  </si>
  <si>
    <t>Central dos Cursos</t>
  </si>
  <si>
    <t>Núcleo e Central de Cursos Livres Online/EaD | Cursos Seguros e Reconhecidos |ABED | Confira mais #Cursos fiscalizados no link(URL):</t>
  </si>
  <si>
    <t>paulocbastos</t>
  </si>
  <si>
    <t>Paulo Cesar Bastos</t>
  </si>
  <si>
    <t>Engenheiro civil</t>
  </si>
  <si>
    <t>portomario</t>
  </si>
  <si>
    <t>🇧🇷RMStudio🇧🇷</t>
  </si>
  <si>
    <t>-Senhor, permita que meus desejos estejam em conformidade com a Tua vontade e que eu possa ser purificado de tudo o que não Te agrada.🔗rmsportostudio@gmail.com</t>
  </si>
  <si>
    <t>marcosacyprest1</t>
  </si>
  <si>
    <t>Marcos A. Cypreste</t>
  </si>
  <si>
    <t>flyvagner</t>
  </si>
  <si>
    <t>Fly Vagner</t>
  </si>
  <si>
    <t>Diretor Artístico, Apresentador e Palestrante.</t>
  </si>
  <si>
    <t>andredesofia</t>
  </si>
  <si>
    <t>𝕃𝕚𝕣𝕚𝕔𝕠 24</t>
  </si>
  <si>
    <t>Académico, Atleta e Téc. De Estatística</t>
  </si>
  <si>
    <t>abnerluciano</t>
  </si>
  <si>
    <t>Abner Luciano</t>
  </si>
  <si>
    <t>Gearhead
Futuro em Engenheiro
Pai de primeira viagem 
Nascido e criado no gueto
Príncipe Latino
Nego Drama</t>
  </si>
  <si>
    <t>ricardoschramm</t>
  </si>
  <si>
    <t>ricardo schramm</t>
  </si>
  <si>
    <t>Falo sobre futebol, atualidades e assuntos gerais. Sobre cerveja, empreendedorismo e design.</t>
  </si>
  <si>
    <t>mauriciomoega</t>
  </si>
  <si>
    <t>mauricionefsconexaodigital@gmail.com</t>
  </si>
  <si>
    <t>malelo2711</t>
  </si>
  <si>
    <t>Celo</t>
  </si>
  <si>
    <t>DEMOCRACIA</t>
  </si>
  <si>
    <t>soutaniacris</t>
  </si>
  <si>
    <t>Tania Cristina</t>
  </si>
  <si>
    <t>judiasdemim</t>
  </si>
  <si>
    <t>TAYLOR VARRENDO A RUA EM KARMA RJ n1 e SP n2</t>
  </si>
  <si>
    <t>esse perfil fala de política, homossexualidade, mundo pop e taylor swift
politica :9hs as 17hs
homossexualidade e afins: 24h/7d</t>
  </si>
  <si>
    <t>umempreendedor</t>
  </si>
  <si>
    <t>Canal Bola de CAPOTÃO - Prof. PR</t>
  </si>
  <si>
    <t>Sua resenha semanal, nossos comentaristas que NÃO sabem NADA de futebol vão resenhar com vcs.</t>
  </si>
  <si>
    <t>marciocardial</t>
  </si>
  <si>
    <t>Márcio Cardial</t>
  </si>
  <si>
    <t>Empreendedor, Comunicador, Publisher e apaixonado em construir relacionamentos e viabilizar negócios</t>
  </si>
  <si>
    <t>valdemar_hoque</t>
  </si>
  <si>
    <t>Valdemar Hoque</t>
  </si>
  <si>
    <t>Entrepreneur passionate about innovation, coffee and wine.</t>
  </si>
  <si>
    <t>carlos_domini</t>
  </si>
  <si>
    <t>Carlos Domini</t>
  </si>
  <si>
    <t>Médico - Planejador Financeiro</t>
  </si>
  <si>
    <t>rankiabrasil</t>
  </si>
  <si>
    <t>Rankia Brasil</t>
  </si>
  <si>
    <t>Comunidade financeira sobre bancos, bolsa de valores, afores, pensões, seguros, imobiliária, economia e tributação no Brasil</t>
  </si>
  <si>
    <t>missao_renda</t>
  </si>
  <si>
    <t>Missão Renda</t>
  </si>
  <si>
    <t>Te ajudo a gerar renda extra sem precisar trabalhar mais horas ou mudar de emprego. A chave pra isso: Investimento, Ações, FIIs, Dividendos</t>
  </si>
  <si>
    <t>marccos_pessoa</t>
  </si>
  <si>
    <t>Marccos</t>
  </si>
  <si>
    <t>anonimus7700</t>
  </si>
  <si>
    <t>anônimo</t>
  </si>
  <si>
    <t>radunz_carlos</t>
  </si>
  <si>
    <t>Carlos Radunz</t>
  </si>
  <si>
    <t>niiwopendata</t>
  </si>
  <si>
    <t>NIIW</t>
  </si>
  <si>
    <t>O Niiw é um App colaborativo de educação financeira, pesquisa de preços e listas de compras para seu dia a dia.</t>
  </si>
  <si>
    <t>7kaylas</t>
  </si>
  <si>
    <t>𝙼.𝙺.𝙼</t>
  </si>
  <si>
    <t>Outros perfis: @_kaylart📍Administração com foco em mídias 📨: work.kayla@outlook.com 📍Instagram: @ managementkm #marketingdigital</t>
  </si>
  <si>
    <t>cgta_carlos</t>
  </si>
  <si>
    <t>Carlos Gomes</t>
  </si>
  <si>
    <t>portalcdljovem</t>
  </si>
  <si>
    <t>CDL Jovem</t>
  </si>
  <si>
    <t>Perfil oficial da CDL Jovem - um espaço para desenvolver o espírito inovador e empreendedor na sociedade.</t>
  </si>
  <si>
    <t>kveira4ever</t>
  </si>
  <si>
    <t>MAGRÃO</t>
  </si>
  <si>
    <t>Carioca com muito orgulho.</t>
  </si>
  <si>
    <t>rosiellepegado</t>
  </si>
  <si>
    <t>Rosielle Pegado</t>
  </si>
  <si>
    <t>Planejadora Financeira e Coach em Comportamento Financeiro</t>
  </si>
  <si>
    <t>nomenascimento</t>
  </si>
  <si>
    <t>Alê Nascimento</t>
  </si>
  <si>
    <t>Sutil, porém muito marcante...Deus.</t>
  </si>
  <si>
    <t>profandersonmat</t>
  </si>
  <si>
    <t>Anderson</t>
  </si>
  <si>
    <t>Matemático</t>
  </si>
  <si>
    <t>denisectoledo8</t>
  </si>
  <si>
    <t>Denise C de Toledo</t>
  </si>
  <si>
    <t>Jornalista, palestrante, comentarista de Economia TV Gazeta, ex-Jovem Pan @denisecamposdetoledo no Instagram</t>
  </si>
  <si>
    <t>mariade80544716</t>
  </si>
  <si>
    <t>Maria de Jesus Silva Amorim</t>
  </si>
  <si>
    <t>Prof Licenciada em Ciências  Naturais com habilitação  em Matemática.</t>
  </si>
  <si>
    <t>pedromestr</t>
  </si>
  <si>
    <t>🦉 VOLUNTÁRIO REALISTA ESPERANÇOSO GLORIOSO★彡</t>
  </si>
  <si>
    <t>Contador, Professor e voluntário da educação. Torcedor do #Botafogo. Amante das atividades físicas. Lê e escreve. Fusqueiro. Às vezes irônico. Equilíbrio.🦇🐶🐱</t>
  </si>
  <si>
    <t>forbesbr</t>
  </si>
  <si>
    <t>Forbes Brasil</t>
  </si>
  <si>
    <t>Forbes é o maior título de negócios do mundo, dedicado à realizações e realizadores.</t>
  </si>
  <si>
    <t>luizamrl</t>
  </si>
  <si>
    <t>Luiza Leão 🦁</t>
  </si>
  <si>
    <t>Repórter de vídeos no @noticiasdatv, mas aqui as opiniões são minhas | Recifense, radicada em Salvador e sobrevivendo em São Paulo. | luiza@noticiasdatv.com</t>
  </si>
  <si>
    <t>caminhodoinves1</t>
  </si>
  <si>
    <t>Caminho do Investimento</t>
  </si>
  <si>
    <t>Aficionado por finanças pessoais, poupança e investimento. Tentar criar valor. Não acredita em esquemas de enriquecimento rápido!</t>
  </si>
  <si>
    <t>globo_cancer_br</t>
  </si>
  <si>
    <t>S. Al-Ma'ida</t>
  </si>
  <si>
    <t>Para o 1% não há prazer em ser rico - é preciso haver escravos...</t>
  </si>
  <si>
    <t>criptoislife</t>
  </si>
  <si>
    <t>encryption is life</t>
  </si>
  <si>
    <t>Monetary revolution enthusiast</t>
  </si>
  <si>
    <t>vidasimples</t>
  </si>
  <si>
    <t>Vida Simples</t>
  </si>
  <si>
    <t>Vamos juntos ser, conviver e transformar?</t>
  </si>
  <si>
    <t>luamedeiross</t>
  </si>
  <si>
    <t>Lua Medeiros</t>
  </si>
  <si>
    <t>Farmacêutica 💊🔬🧪</t>
  </si>
  <si>
    <t>djandriooficial</t>
  </si>
  <si>
    <t>DJ Andrio Produções Celebration</t>
  </si>
  <si>
    <t>DJ Andrio   Produções e Eventos
 djandriopruducoes@gmail.com</t>
  </si>
  <si>
    <t>lenick2008</t>
  </si>
  <si>
    <t>Leandro Soares</t>
  </si>
  <si>
    <t>ye__exe</t>
  </si>
  <si>
    <t>O I :) 🇦🇲</t>
  </si>
  <si>
    <t>Oi… só isso mesmo o resto você descobre. 🇦🇲</t>
  </si>
  <si>
    <t>nostranska</t>
  </si>
  <si>
    <t>Nostranska 💸 Its your future look after it</t>
  </si>
  <si>
    <t>ностранска🐬🦀🐈‍⬛</t>
  </si>
  <si>
    <t>robson63416430</t>
  </si>
  <si>
    <t>Robson</t>
  </si>
  <si>
    <t>Dom R brigadeiros e doces</t>
  </si>
  <si>
    <t>lipfiori</t>
  </si>
  <si>
    <t>Felipe Novaes Fiori</t>
  </si>
  <si>
    <t>Fã de esporte</t>
  </si>
  <si>
    <t>midimashup</t>
  </si>
  <si>
    <t>Jonas - O aposentado</t>
  </si>
  <si>
    <t>Levantou, a gente corta.</t>
  </si>
  <si>
    <t>cidadaniapoa</t>
  </si>
  <si>
    <t>CIDADANIA 23 DE POA</t>
  </si>
  <si>
    <t>Cidadania 23 de Porto Alegre</t>
  </si>
  <si>
    <t>trogloditaao</t>
  </si>
  <si>
    <t>Newton Paquissi-Investidor.</t>
  </si>
  <si>
    <t>Investimentos &amp; Consultória Financeira. 
Whatsapp Business : 
954 211 302 - 997 41 77 01
Ig:@newt.np</t>
  </si>
  <si>
    <t>arrascaweta</t>
  </si>
  <si>
    <t>eu rayane e levi jogando valorant</t>
  </si>
  <si>
    <t>proatitudeeduca</t>
  </si>
  <si>
    <t>Pro Atitude Educacional</t>
  </si>
  <si>
    <t>A Pro Atitude Educacional explora o futuro da aprendizagem em todas as suas dimensões, abrangendo tendências culturais, tecnológicas e inovações na Educação.</t>
  </si>
  <si>
    <t>beatrizdiascc</t>
  </si>
  <si>
    <t>pipocaeeconomia</t>
  </si>
  <si>
    <t>#economista
#mãe 
#carioca
#mtasemuma</t>
  </si>
  <si>
    <t>marcoscleberc</t>
  </si>
  <si>
    <t>Marcos Cleber 🇧🇷💢</t>
  </si>
  <si>
    <t>#bitcoin
🇧🇷🇧🇷🇧🇷💢</t>
  </si>
  <si>
    <t>pammalpari</t>
  </si>
  <si>
    <t>Leonidas Silva Andrade Melo</t>
  </si>
  <si>
    <t>Pamm Alpari - Alpari ofrece el servicio de cuentas PAMM (Percent Allocation Management Module), que es una forma de inversión en la que los inversores pueden</t>
  </si>
  <si>
    <t>arib85</t>
  </si>
  <si>
    <t>Alex Ribeiro</t>
  </si>
  <si>
    <t>Formado em Ciências Contábeis, Contador por essência, um apaixonado pelos assuntos Financeiros que norteiam e fazem parte de nossa sociedade e de nossas vidas.</t>
  </si>
  <si>
    <t>claudiaonline</t>
  </si>
  <si>
    <t>CLAUDIA</t>
  </si>
  <si>
    <t>Twitter oficial da Revista CLAUDIA. 
O sentido feminino. Assine: https://t.co/vYTs0lo0ki</t>
  </si>
  <si>
    <t>lukkkkhadd</t>
  </si>
  <si>
    <t>lucas</t>
  </si>
  <si>
    <t>@gremio 🇪🇪 design × ufrgs ⛩️ intp</t>
  </si>
  <si>
    <t>confebras</t>
  </si>
  <si>
    <t>Confebras</t>
  </si>
  <si>
    <t>Contribuímos com o desenvolvimento sustentável do cooperativismo de crédito brasileiro.</t>
  </si>
  <si>
    <t>adrianadelucca</t>
  </si>
  <si>
    <t>Adriana De Luca</t>
  </si>
  <si>
    <t>Italian-Brazilian, Risk Management and Finance Professional CFP, Chemistry Teacher. Interested about science,  environment, animals protection, wine and tennis.</t>
  </si>
  <si>
    <t>domingosvascon</t>
  </si>
  <si>
    <t>Domingos Vasconcelos</t>
  </si>
  <si>
    <t>Viajar é preciso! ⛵️</t>
  </si>
  <si>
    <t>paschefrederico</t>
  </si>
  <si>
    <t>frederico pasche</t>
  </si>
  <si>
    <t>lucaspereira_ef</t>
  </si>
  <si>
    <t>Lucas Augusto</t>
  </si>
  <si>
    <t>Educação Financeira de forma descomplicada e ao alcance de todos!
Ações, FII, Altcoins, NFT.
Trading, Price Action.</t>
  </si>
  <si>
    <t>israelpinveste</t>
  </si>
  <si>
    <t>Israel Pimentel</t>
  </si>
  <si>
    <t>🙅🏼‍♂️ Cripto ₿ e Finanças Pessoais 
🧠 Educação Financeira
📧 Israel@israelpimentel.com.br</t>
  </si>
  <si>
    <t>finsiders2</t>
  </si>
  <si>
    <t>Finsiders.com.br</t>
  </si>
  <si>
    <t>O que você precisa saber sobre o mercado de fintechs, com notícias exclusivas, curadoria e contexto | Por @danylomartins_</t>
  </si>
  <si>
    <t>oproprioailton</t>
  </si>
  <si>
    <t>hobbit do sertão na aldeia global</t>
  </si>
  <si>
    <t>tradicionalista, monarquista, distibutivista.</t>
  </si>
  <si>
    <t>joanadarcdocar1</t>
  </si>
  <si>
    <t>Joana D'Arc do Carmo Soares</t>
  </si>
  <si>
    <t>Empresária</t>
  </si>
  <si>
    <t>mqsoulja</t>
  </si>
  <si>
    <t>Por Trás De Tudo</t>
  </si>
  <si>
    <t>Rapper Angolano membro do grupo Diamonds Whats app +244 926875141 Angolan Rapper , #WaveNation Bookings mqsoulja@gmail.com +244 926875141</t>
  </si>
  <si>
    <t>papoincerto</t>
  </si>
  <si>
    <t>Papo Incerto</t>
  </si>
  <si>
    <t>Ouça o nosso Podcast
🎙3.8 k plays no APPS de áudio.
📽44.8 k Papo Incerto Podcast
https://t.co/yUzjbG00Zl</t>
  </si>
  <si>
    <t>capanema2009</t>
  </si>
  <si>
    <t>Ilcimar 🐈🇮🇹</t>
  </si>
  <si>
    <t>Gosto de escolher minhas ilusões 🎭🎲🎶🍀</t>
  </si>
  <si>
    <t>cidtff</t>
  </si>
  <si>
    <t>Centro de Investigação em Didática e Tecnologia na Formação de Formadores | Research Center on Didactics and Technology in the Education of Trainers</t>
  </si>
  <si>
    <t>sergiotriathlet</t>
  </si>
  <si>
    <t>Sergio Luis Dias</t>
  </si>
  <si>
    <t>Paixão pelo esporte.</t>
  </si>
  <si>
    <t>rafaelaon</t>
  </si>
  <si>
    <t>Rafaela</t>
  </si>
  <si>
    <t>This is me... Then</t>
  </si>
  <si>
    <t>assunitel</t>
  </si>
  <si>
    <t>NK a Lei da Atração | Nilton Lucas Psicanalista</t>
  </si>
  <si>
    <t>Diretor Jurídico | Psicanalista. Especialista em Desenvolvimento Pessoal. Acesse nosso canal do YouTube: https://t.co/hrZG2VEXud</t>
  </si>
  <si>
    <t>edimosip</t>
  </si>
  <si>
    <t>EDIMO PEREIRA</t>
  </si>
  <si>
    <t>alyson_davalle</t>
  </si>
  <si>
    <t>Alyson Davalle Alves</t>
  </si>
  <si>
    <t>compartilhando minhas experiencias com Investimentos, criptos, empreendedorismo.</t>
  </si>
  <si>
    <t>fee_sa</t>
  </si>
  <si>
    <t>ⓕⓔⓡⓝⓐⓝⓓⓐ SA </t>
  </si>
  <si>
    <t>eu, apenas Fernanda 𝒻Ｅя几Ａή𝓭𝐚 (っ◔◡◔)っ ♥ Fernanda 𝓕𝓮𝓻𝓷𝓪𝓷𝓭𝓪 ♥</t>
  </si>
</sst>
</file>

<file path=xl/styles.xml><?xml version="1.0" encoding="utf-8"?>
<styleSheet xmlns="http://schemas.openxmlformats.org/spreadsheetml/2006/main" xmlns:x14ac="http://schemas.microsoft.com/office/spreadsheetml/2009/9/ac" xmlns:mc="http://schemas.openxmlformats.org/markup-compatibility/2006">
  <fonts count="8">
    <font>
      <sz val="10.0"/>
      <color rgb="FF000000"/>
      <name val="Arial"/>
      <scheme val="minor"/>
    </font>
    <font>
      <color theme="1"/>
      <name val="Arial"/>
      <scheme val="minor"/>
    </font>
    <font>
      <u/>
      <color rgb="FF0000FF"/>
    </font>
    <font>
      <b/>
      <color theme="1"/>
      <name val="Arial"/>
    </font>
    <font>
      <b/>
      <sz val="9.0"/>
      <color theme="1"/>
      <name val="Arial"/>
    </font>
    <font>
      <color theme="1"/>
      <name val="Arial"/>
    </font>
    <font>
      <u/>
      <color rgb="FF0000FF"/>
    </font>
    <font>
      <u/>
      <color rgb="FF0000FF"/>
      <name val="Arial"/>
    </font>
  </fonts>
  <fills count="8">
    <fill>
      <patternFill patternType="none"/>
    </fill>
    <fill>
      <patternFill patternType="lightGray"/>
    </fill>
    <fill>
      <patternFill patternType="solid">
        <fgColor rgb="FFEAEAEA"/>
        <bgColor rgb="FFEAEAEA"/>
      </patternFill>
    </fill>
    <fill>
      <patternFill patternType="solid">
        <fgColor rgb="FFCFE2F3"/>
        <bgColor rgb="FFCFE2F3"/>
      </patternFill>
    </fill>
    <fill>
      <patternFill patternType="solid">
        <fgColor rgb="FFFFF2CC"/>
        <bgColor rgb="FFFFF2CC"/>
      </patternFill>
    </fill>
    <fill>
      <patternFill patternType="solid">
        <fgColor rgb="FFD9EAD3"/>
        <bgColor rgb="FFD9EAD3"/>
      </patternFill>
    </fill>
    <fill>
      <patternFill patternType="solid">
        <fgColor rgb="FFE06666"/>
        <bgColor rgb="FFE06666"/>
      </patternFill>
    </fill>
    <fill>
      <patternFill patternType="solid">
        <fgColor rgb="FFEA9999"/>
        <bgColor rgb="FFEA9999"/>
      </patternFill>
    </fill>
  </fills>
  <borders count="1">
    <border/>
  </borders>
  <cellStyleXfs count="1">
    <xf borderId="0" fillId="0" fontId="0" numFmtId="0" applyAlignment="1" applyFont="1"/>
  </cellStyleXfs>
  <cellXfs count="34">
    <xf borderId="0" fillId="0" fontId="0" numFmtId="0" xfId="0" applyAlignment="1" applyFont="1">
      <alignment readingOrder="0" shrinkToFit="0" vertical="bottom" wrapText="0"/>
    </xf>
    <xf borderId="0" fillId="0" fontId="1" numFmtId="0" xfId="0" applyFont="1"/>
    <xf borderId="0" fillId="0" fontId="1" numFmtId="0" xfId="0" applyAlignment="1" applyFont="1">
      <alignment shrinkToFit="0" wrapText="1"/>
    </xf>
    <xf borderId="0" fillId="0" fontId="1" numFmtId="3" xfId="0" applyFont="1" applyNumberFormat="1"/>
    <xf borderId="0" fillId="0" fontId="2" numFmtId="0" xfId="0" applyAlignment="1" applyFont="1">
      <alignment shrinkToFit="0" wrapText="1"/>
    </xf>
    <xf borderId="0" fillId="2" fontId="3" numFmtId="0" xfId="0" applyAlignment="1" applyFill="1" applyFont="1">
      <alignment horizontal="center" vertical="bottom"/>
    </xf>
    <xf borderId="0" fillId="2" fontId="3" numFmtId="0" xfId="0" applyAlignment="1" applyFont="1">
      <alignment horizontal="center" shrinkToFit="0" vertical="bottom" wrapText="1"/>
    </xf>
    <xf borderId="0" fillId="3" fontId="4" numFmtId="0" xfId="0" applyAlignment="1" applyFill="1" applyFont="1">
      <alignment horizontal="center" shrinkToFit="0" wrapText="1"/>
    </xf>
    <xf borderId="0" fillId="2" fontId="3" numFmtId="3" xfId="0" applyAlignment="1" applyFont="1" applyNumberFormat="1">
      <alignment horizontal="center" vertical="bottom"/>
    </xf>
    <xf borderId="0" fillId="0" fontId="5" numFmtId="0" xfId="0" applyAlignment="1" applyFont="1">
      <alignment vertical="bottom"/>
    </xf>
    <xf borderId="0" fillId="0" fontId="5" numFmtId="0" xfId="0" applyAlignment="1" applyFont="1">
      <alignment shrinkToFit="0" vertical="bottom" wrapText="1"/>
    </xf>
    <xf borderId="0" fillId="0" fontId="5" numFmtId="3" xfId="0" applyAlignment="1" applyFont="1" applyNumberFormat="1">
      <alignment horizontal="center"/>
    </xf>
    <xf borderId="0" fillId="0" fontId="5" numFmtId="0" xfId="0" applyAlignment="1" applyFont="1">
      <alignment horizontal="right" vertical="bottom"/>
    </xf>
    <xf borderId="0" fillId="0" fontId="5" numFmtId="3" xfId="0" applyAlignment="1" applyFont="1" applyNumberFormat="1">
      <alignment horizontal="right" vertical="bottom"/>
    </xf>
    <xf borderId="0" fillId="4" fontId="5" numFmtId="0" xfId="0" applyAlignment="1" applyFill="1" applyFont="1">
      <alignment vertical="bottom"/>
    </xf>
    <xf borderId="0" fillId="5" fontId="5" numFmtId="0" xfId="0" applyAlignment="1" applyFill="1" applyFont="1">
      <alignment vertical="bottom"/>
    </xf>
    <xf borderId="0" fillId="0" fontId="5" numFmtId="3" xfId="0" applyAlignment="1" applyFont="1" applyNumberFormat="1">
      <alignment vertical="bottom"/>
    </xf>
    <xf borderId="0" fillId="6" fontId="5" numFmtId="0" xfId="0" applyAlignment="1" applyFill="1" applyFont="1">
      <alignment vertical="bottom"/>
    </xf>
    <xf borderId="0" fillId="6" fontId="5" numFmtId="0" xfId="0" applyAlignment="1" applyFont="1">
      <alignment shrinkToFit="0" vertical="bottom" wrapText="1"/>
    </xf>
    <xf borderId="0" fillId="6" fontId="5" numFmtId="0" xfId="0" applyAlignment="1" applyFont="1">
      <alignment horizontal="right" vertical="bottom"/>
    </xf>
    <xf borderId="0" fillId="6" fontId="5" numFmtId="3" xfId="0" applyAlignment="1" applyFont="1" applyNumberFormat="1">
      <alignment horizontal="right" vertical="bottom"/>
    </xf>
    <xf borderId="0" fillId="6" fontId="5" numFmtId="3" xfId="0" applyFont="1" applyNumberFormat="1"/>
    <xf borderId="0" fillId="6" fontId="5" numFmtId="3" xfId="0" applyAlignment="1" applyFont="1" applyNumberFormat="1">
      <alignment horizontal="center"/>
    </xf>
    <xf borderId="0" fillId="0" fontId="5" numFmtId="3" xfId="0" applyFont="1" applyNumberFormat="1"/>
    <xf borderId="0" fillId="7" fontId="5" numFmtId="0" xfId="0" applyAlignment="1" applyFill="1" applyFont="1">
      <alignment vertical="bottom"/>
    </xf>
    <xf borderId="0" fillId="7" fontId="5" numFmtId="0" xfId="0" applyAlignment="1" applyFont="1">
      <alignment shrinkToFit="0" vertical="bottom" wrapText="1"/>
    </xf>
    <xf borderId="0" fillId="7" fontId="5" numFmtId="0" xfId="0" applyAlignment="1" applyFont="1">
      <alignment horizontal="right" vertical="bottom"/>
    </xf>
    <xf borderId="0" fillId="7" fontId="5" numFmtId="3" xfId="0" applyAlignment="1" applyFont="1" applyNumberFormat="1">
      <alignment horizontal="right" vertical="bottom"/>
    </xf>
    <xf borderId="0" fillId="7" fontId="5" numFmtId="3" xfId="0" applyFont="1" applyNumberFormat="1"/>
    <xf borderId="0" fillId="7" fontId="5" numFmtId="3" xfId="0" applyAlignment="1" applyFont="1" applyNumberFormat="1">
      <alignment horizontal="center"/>
    </xf>
    <xf borderId="0" fillId="0" fontId="5" numFmtId="3" xfId="0" applyAlignment="1" applyFont="1" applyNumberFormat="1">
      <alignment horizontal="center" readingOrder="0"/>
    </xf>
    <xf borderId="0" fillId="0" fontId="5" numFmtId="0" xfId="0" applyAlignment="1" applyFont="1">
      <alignment shrinkToFit="0" vertical="bottom" wrapText="0"/>
    </xf>
    <xf borderId="0" fillId="0" fontId="6" numFmtId="0" xfId="0" applyFont="1"/>
    <xf borderId="0" fillId="0" fontId="7" numFmtId="0" xfId="0" applyAlignment="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t.co/qlnZ5UsZ7Y"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t.co/xIxV1zsRqu" TargetMode="External"/><Relationship Id="rId2" Type="http://schemas.openxmlformats.org/officeDocument/2006/relationships/hyperlink" Target="https://t.co/sZb9GKqU6w" TargetMode="External"/><Relationship Id="rId3" Type="http://schemas.openxmlformats.org/officeDocument/2006/relationships/hyperlink" Target="http://rankia.com" TargetMode="External"/><Relationship Id="rId4" Type="http://schemas.openxmlformats.org/officeDocument/2006/relationships/hyperlink" Target="https://t.co/qlnZ5UsZ7Y" TargetMode="External"/><Relationship Id="rId5" Type="http://schemas.openxmlformats.org/officeDocument/2006/relationships/hyperlink" Target="http://finsiders.com.br" TargetMode="External"/><Relationship Id="rId6"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5.5"/>
    <col customWidth="1" min="3" max="3" width="55.38"/>
    <col customWidth="1" min="4" max="4" width="14.38"/>
  </cols>
  <sheetData>
    <row r="1">
      <c r="A1" s="1" t="str">
        <f>IFERROR(__xludf.DUMMYFUNCTION("QUERY('Influencers Tratados'!A:K,""select A,B,C,E,F where (D='Sim' AND I&lt;&gt;'Não' AND J&lt;&gt;'Não' AND K &lt;&gt;'Não')"")"),"User_Name")</f>
        <v>User_Name</v>
      </c>
      <c r="B1" s="2" t="str">
        <f>IFERROR(__xludf.DUMMYFUNCTION("""COMPUTED_VALUE"""),"Usuário")</f>
        <v>Usuário</v>
      </c>
      <c r="C1" s="2" t="str">
        <f>IFERROR(__xludf.DUMMYFUNCTION("""COMPUTED_VALUE"""),"Descrição")</f>
        <v>Descrição</v>
      </c>
      <c r="D1" s="1" t="str">
        <f>IFERROR(__xludf.DUMMYFUNCTION("""COMPUTED_VALUE"""),"PageRank")</f>
        <v>PageRank</v>
      </c>
      <c r="E1" s="1" t="str">
        <f>IFERROR(__xludf.DUMMYFUNCTION("""COMPUTED_VALUE"""),"N. Seguidores")</f>
        <v>N. Seguidores</v>
      </c>
    </row>
    <row r="2">
      <c r="A2" s="1" t="str">
        <f>IFERROR(__xludf.DUMMYFUNCTION("""COMPUTED_VALUE"""),"webtcoficial")</f>
        <v>webtcoficial</v>
      </c>
      <c r="B2" s="2" t="str">
        <f>IFERROR(__xludf.DUMMYFUNCTION("""COMPUTED_VALUE"""),"We❤Bitcoin")</f>
        <v>We❤Bitcoin</v>
      </c>
      <c r="C2" s="2" t="str">
        <f>IFERROR(__xludf.DUMMYFUNCTION("""COMPUTED_VALUE"""),"O seu portal de notícias sobre #Bitcoin e #blockchain, sua melhor fonte de informação com as mais recentes #notícias mundiais sobre #criptomoedas.")</f>
        <v>O seu portal de notícias sobre #Bitcoin e #blockchain, sua melhor fonte de informação com as mais recentes #notícias mundiais sobre #criptomoedas.</v>
      </c>
      <c r="D2" s="1">
        <f>IFERROR(__xludf.DUMMYFUNCTION("""COMPUTED_VALUE"""),0.015180532319202158)</f>
        <v>0.01518053232</v>
      </c>
      <c r="E2" s="3">
        <f>IFERROR(__xludf.DUMMYFUNCTION("""COMPUTED_VALUE"""),6787.0)</f>
        <v>6787</v>
      </c>
    </row>
    <row r="3">
      <c r="A3" s="1" t="str">
        <f>IFERROR(__xludf.DUMMYFUNCTION("""COMPUTED_VALUE"""),"b3_oficial")</f>
        <v>b3_oficial</v>
      </c>
      <c r="B3" s="2" t="str">
        <f>IFERROR(__xludf.DUMMYFUNCTION("""COMPUTED_VALUE"""),"B3")</f>
        <v>B3</v>
      </c>
      <c r="C3" s="2" t="str">
        <f>IFERROR(__xludf.DUMMYFUNCTION("""COMPUTED_VALUE"""),"Nosso compromisso é conduzir o desenvolvimento econômico sustentável para a sociedade prosperar.")</f>
        <v>Nosso compromisso é conduzir o desenvolvimento econômico sustentável para a sociedade prosperar.</v>
      </c>
      <c r="D3" s="1">
        <f>IFERROR(__xludf.DUMMYFUNCTION("""COMPUTED_VALUE"""),0.009764449035720508)</f>
        <v>0.009764449036</v>
      </c>
      <c r="E3" s="3">
        <f>IFERROR(__xludf.DUMMYFUNCTION("""COMPUTED_VALUE"""),280799.0)</f>
        <v>280799</v>
      </c>
    </row>
    <row r="4">
      <c r="A4" s="1" t="str">
        <f>IFERROR(__xludf.DUMMYFUNCTION("""COMPUTED_VALUE"""),"mat_financeira")</f>
        <v>mat_financeira</v>
      </c>
      <c r="B4" s="2" t="str">
        <f>IFERROR(__xludf.DUMMYFUNCTION("""COMPUTED_VALUE"""),"Matemática Financeira")</f>
        <v>Matemática Financeira</v>
      </c>
      <c r="C4" s="2" t="str">
        <f>IFERROR(__xludf.DUMMYFUNCTION("""COMPUTED_VALUE"""),"Tweets didáticos sobre economia, matemática financeira, finanças pessoais e outros temas para compreender melhor o nosso mundo econômico. Prof. Ricardo Viana.")</f>
        <v>Tweets didáticos sobre economia, matemática financeira, finanças pessoais e outros temas para compreender melhor o nosso mundo econômico. Prof. Ricardo Viana.</v>
      </c>
      <c r="D4" s="1">
        <f>IFERROR(__xludf.DUMMYFUNCTION("""COMPUTED_VALUE"""),0.008886165260020779)</f>
        <v>0.00888616526</v>
      </c>
      <c r="E4" s="3">
        <f>IFERROR(__xludf.DUMMYFUNCTION("""COMPUTED_VALUE"""),106538.0)</f>
        <v>106538</v>
      </c>
    </row>
    <row r="5">
      <c r="A5" s="1" t="str">
        <f>IFERROR(__xludf.DUMMYFUNCTION("""COMPUTED_VALUE"""),"nathfinancas")</f>
        <v>nathfinancas</v>
      </c>
      <c r="B5" s="2" t="str">
        <f>IFERROR(__xludf.DUMMYFUNCTION("""COMPUTED_VALUE"""),"Nath Finanças 💰")</f>
        <v>Nath Finanças 💰</v>
      </c>
      <c r="C5" s="2" t="str">
        <f>IFERROR(__xludf.DUMMYFUNCTION("""COMPUTED_VALUE"""),"Administradora| Finanças| Investimentos| Empresária| Vascaína 💢🌈| Amo Rap e memes💙| Contato :comercial@nathfinancas.com")</f>
        <v>Administradora| Finanças| Investimentos| Empresária| Vascaína 💢🌈| Amo Rap e memes💙| Contato :comercial@nathfinancas.com</v>
      </c>
      <c r="D5" s="1">
        <f>IFERROR(__xludf.DUMMYFUNCTION("""COMPUTED_VALUE"""),0.006493832516850711)</f>
        <v>0.006493832517</v>
      </c>
      <c r="E5" s="3">
        <f>IFERROR(__xludf.DUMMYFUNCTION("""COMPUTED_VALUE"""),598436.0)</f>
        <v>598436</v>
      </c>
    </row>
    <row r="6">
      <c r="A6" s="1" t="str">
        <f>IFERROR(__xludf.DUMMYFUNCTION("""COMPUTED_VALUE"""),"cvmgovbr")</f>
        <v>cvmgovbr</v>
      </c>
      <c r="B6" s="2" t="str">
        <f>IFERROR(__xludf.DUMMYFUNCTION("""COMPUTED_VALUE"""),"CVM")</f>
        <v>CVM</v>
      </c>
      <c r="C6" s="2" t="str">
        <f>IFERROR(__xludf.DUMMYFUNCTION("""COMPUTED_VALUE"""),"Conta oficial da Comissão de Valores Mobiliários, reguladora do mercado de capitais no Brasil. Para atendimento, acesse https://t.co/BCxcyxjPFR")</f>
        <v>Conta oficial da Comissão de Valores Mobiliários, reguladora do mercado de capitais no Brasil. Para atendimento, acesse https://t.co/BCxcyxjPFR</v>
      </c>
      <c r="D6" s="1">
        <f>IFERROR(__xludf.DUMMYFUNCTION("""COMPUTED_VALUE"""),0.006418606080673922)</f>
        <v>0.006418606081</v>
      </c>
      <c r="E6" s="3">
        <f>IFERROR(__xludf.DUMMYFUNCTION("""COMPUTED_VALUE"""),16260.0)</f>
        <v>16260</v>
      </c>
    </row>
    <row r="7">
      <c r="A7" s="1" t="str">
        <f>IFERROR(__xludf.DUMMYFUNCTION("""COMPUTED_VALUE"""),"loopipay")</f>
        <v>loopipay</v>
      </c>
      <c r="B7" s="2" t="str">
        <f>IFERROR(__xludf.DUMMYFUNCTION("""COMPUTED_VALUE"""),"LoopiPay")</f>
        <v>LoopiPay</v>
      </c>
      <c r="C7" s="2" t="str">
        <f>IFERROR(__xludf.DUMMYFUNCTION("""COMPUTED_VALUE"""),"A LoopiPay é uma plataforma para comprar Bitcoin e outras criptomoedas via PIX direto para sua carteira. 📲 Baixe nosso app: https://t.co/Gq4sFtKl8W")</f>
        <v>A LoopiPay é uma plataforma para comprar Bitcoin e outras criptomoedas via PIX direto para sua carteira. 📲 Baixe nosso app: https://t.co/Gq4sFtKl8W</v>
      </c>
      <c r="D7" s="1">
        <f>IFERROR(__xludf.DUMMYFUNCTION("""COMPUTED_VALUE"""),0.0052893840833457)</f>
        <v>0.005289384083</v>
      </c>
      <c r="E7" s="3">
        <f>IFERROR(__xludf.DUMMYFUNCTION("""COMPUTED_VALUE"""),1802.0)</f>
        <v>1802</v>
      </c>
    </row>
    <row r="8">
      <c r="A8" s="1" t="str">
        <f>IFERROR(__xludf.DUMMYFUNCTION("""COMPUTED_VALUE"""),"rio_bravo")</f>
        <v>rio_bravo</v>
      </c>
      <c r="B8" s="2" t="str">
        <f>IFERROR(__xludf.DUMMYFUNCTION("""COMPUTED_VALUE"""),"Rio Bravo")</f>
        <v>Rio Bravo</v>
      </c>
      <c r="C8" s="2" t="str">
        <f>IFERROR(__xludf.DUMMYFUNCTION("""COMPUTED_VALUE"""),"Há mais de 20 anos, fazemos a ponte entre o mercado e sociedade, e nos propomos a impulsionar a nova geração de investimentos e investidores conscientes.")</f>
        <v>Há mais de 20 anos, fazemos a ponte entre o mercado e sociedade, e nos propomos a impulsionar a nova geração de investimentos e investidores conscientes.</v>
      </c>
      <c r="D8" s="1">
        <f>IFERROR(__xludf.DUMMYFUNCTION("""COMPUTED_VALUE"""),0.0052893840833457)</f>
        <v>0.005289384083</v>
      </c>
      <c r="E8" s="3">
        <f>IFERROR(__xludf.DUMMYFUNCTION("""COMPUTED_VALUE"""),3111.0)</f>
        <v>3111</v>
      </c>
    </row>
    <row r="9">
      <c r="A9" s="1" t="str">
        <f>IFERROR(__xludf.DUMMYFUNCTION("""COMPUTED_VALUE"""),"meubolsoemdia")</f>
        <v>meubolsoemdia</v>
      </c>
      <c r="B9" s="2" t="str">
        <f>IFERROR(__xludf.DUMMYFUNCTION("""COMPUTED_VALUE"""),"Meu Bolso em Dia")</f>
        <v>Meu Bolso em Dia</v>
      </c>
      <c r="C9" s="2" t="str">
        <f>IFERROR(__xludf.DUMMYFUNCTION("""COMPUTED_VALUE"""),"Aqui você aprende a cuidar bem do seu dinheiro. @FEBRABAN")</f>
        <v>Aqui você aprende a cuidar bem do seu dinheiro. @FEBRABAN</v>
      </c>
      <c r="D9" s="1">
        <f>IFERROR(__xludf.DUMMYFUNCTION("""COMPUTED_VALUE"""),0.0052893840833457)</f>
        <v>0.005289384083</v>
      </c>
      <c r="E9" s="3">
        <f>IFERROR(__xludf.DUMMYFUNCTION("""COMPUTED_VALUE"""),8184.0)</f>
        <v>8184</v>
      </c>
    </row>
    <row r="10">
      <c r="A10" s="1" t="str">
        <f>IFERROR(__xludf.DUMMYFUNCTION("""COMPUTED_VALUE"""),"febraban")</f>
        <v>febraban</v>
      </c>
      <c r="B10" s="2" t="str">
        <f>IFERROR(__xludf.DUMMYFUNCTION("""COMPUTED_VALUE"""),"FEBRABAN")</f>
        <v>FEBRABAN</v>
      </c>
      <c r="C10" s="2" t="str">
        <f>IFERROR(__xludf.DUMMYFUNCTION("""COMPUTED_VALUE"""),"Twitter oficial da FEBRABAN - Federação Brasileira de Bancos - principal entidade representativa do setor bancário no País.")</f>
        <v>Twitter oficial da FEBRABAN - Federação Brasileira de Bancos - principal entidade representativa do setor bancário no País.</v>
      </c>
      <c r="D10" s="1">
        <f>IFERROR(__xludf.DUMMYFUNCTION("""COMPUTED_VALUE"""),0.0052893840833457)</f>
        <v>0.005289384083</v>
      </c>
      <c r="E10" s="3">
        <f>IFERROR(__xludf.DUMMYFUNCTION("""COMPUTED_VALUE"""),49964.0)</f>
        <v>49964</v>
      </c>
    </row>
    <row r="11">
      <c r="A11" s="1" t="str">
        <f>IFERROR(__xludf.DUMMYFUNCTION("""COMPUTED_VALUE"""),"andreynousi")</f>
        <v>andreynousi</v>
      </c>
      <c r="B11" s="2" t="str">
        <f>IFERROR(__xludf.DUMMYFUNCTION("""COMPUTED_VALUE"""),"Andrey Nousi, CFA")</f>
        <v>Andrey Nousi, CFA</v>
      </c>
      <c r="C11" s="2" t="str">
        <f>IFERROR(__xludf.DUMMYFUNCTION("""COMPUTED_VALUE"""),"CEO da @nousifinance. Já movimentei bilhões de dólares como Vice-presidente do JPMorgan na Suíça. eBooks de investimentos 👇")</f>
        <v>CEO da @nousifinance. Já movimentei bilhões de dólares como Vice-presidente do JPMorgan na Suíça. eBooks de investimentos 👇</v>
      </c>
      <c r="D11" s="1">
        <f>IFERROR(__xludf.DUMMYFUNCTION("""COMPUTED_VALUE"""),0.0052893840833457)</f>
        <v>0.005289384083</v>
      </c>
      <c r="E11" s="3">
        <f>IFERROR(__xludf.DUMMYFUNCTION("""COMPUTED_VALUE"""),6569.0)</f>
        <v>6569</v>
      </c>
    </row>
    <row r="12">
      <c r="A12" s="1" t="str">
        <f>IFERROR(__xludf.DUMMYFUNCTION("""COMPUTED_VALUE"""),"fiinewspaper")</f>
        <v>fiinewspaper</v>
      </c>
      <c r="B12" s="2" t="str">
        <f>IFERROR(__xludf.DUMMYFUNCTION("""COMPUTED_VALUE"""),"Fii News Paper")</f>
        <v>Fii News Paper</v>
      </c>
      <c r="C12" s="2" t="str">
        <f>IFERROR(__xludf.DUMMYFUNCTION("""COMPUTED_VALUE"""),"Dados de fundos listados de renda passiva e isentos de imposto na distribuição de rendimentos para pessoa física: #Fii #Fiagro #Fipie #Fiinfra 🤖")</f>
        <v>Dados de fundos listados de renda passiva e isentos de imposto na distribuição de rendimentos para pessoa física: #Fii #Fiagro #Fipie #Fiinfra 🤖</v>
      </c>
      <c r="D12" s="1">
        <f>IFERROR(__xludf.DUMMYFUNCTION("""COMPUTED_VALUE"""),0.0052893840833457)</f>
        <v>0.005289384083</v>
      </c>
      <c r="E12" s="3">
        <f>IFERROR(__xludf.DUMMYFUNCTION("""COMPUTED_VALUE"""),1269.0)</f>
        <v>1269</v>
      </c>
    </row>
    <row r="13">
      <c r="A13" s="1" t="str">
        <f>IFERROR(__xludf.DUMMYFUNCTION("""COMPUTED_VALUE"""),"einvestidor")</f>
        <v>einvestidor</v>
      </c>
      <c r="B13" s="2" t="str">
        <f>IFERROR(__xludf.DUMMYFUNCTION("""COMPUTED_VALUE"""),"E-Investidor")</f>
        <v>E-Investidor</v>
      </c>
      <c r="C13" s="2" t="str">
        <f>IFERROR(__xludf.DUMMYFUNCTION("""COMPUTED_VALUE"""),"Notícias sobre mercado financeiro, economia e finanças pessoais. Este é o E-investidor, novo portal de investimentos do @estadao")</f>
        <v>Notícias sobre mercado financeiro, economia e finanças pessoais. Este é o E-investidor, novo portal de investimentos do @estadao</v>
      </c>
      <c r="D13" s="1">
        <f>IFERROR(__xludf.DUMMYFUNCTION("""COMPUTED_VALUE"""),0.003060136525021998)</f>
        <v>0.003060136525</v>
      </c>
      <c r="E13" s="3">
        <f>IFERROR(__xludf.DUMMYFUNCTION("""COMPUTED_VALUE"""),70515.0)</f>
        <v>70515</v>
      </c>
    </row>
    <row r="14">
      <c r="A14" s="1" t="str">
        <f>IFERROR(__xludf.DUMMYFUNCTION("""COMPUTED_VALUE"""),"bancocentralbr")</f>
        <v>bancocentralbr</v>
      </c>
      <c r="B14" s="2" t="str">
        <f>IFERROR(__xludf.DUMMYFUNCTION("""COMPUTED_VALUE"""),"Banco Central BR")</f>
        <v>Banco Central BR</v>
      </c>
      <c r="C14" s="2" t="str">
        <f>IFERROR(__xludf.DUMMYFUNCTION("""COMPUTED_VALUE"""),"Fique por dentro de tudo que o BC publica: https://t.co/VrFnR3Etep…")</f>
        <v>Fique por dentro de tudo que o BC publica: https://t.co/VrFnR3Etep…</v>
      </c>
      <c r="D14" s="1">
        <f>IFERROR(__xludf.DUMMYFUNCTION("""COMPUTED_VALUE"""),0.0027586725005669392)</f>
        <v>0.002758672501</v>
      </c>
      <c r="E14" s="3">
        <f>IFERROR(__xludf.DUMMYFUNCTION("""COMPUTED_VALUE"""),460978.0)</f>
        <v>460978</v>
      </c>
    </row>
    <row r="15">
      <c r="A15" s="1" t="str">
        <f>IFERROR(__xludf.DUMMYFUNCTION("""COMPUTED_VALUE"""),"professormira1")</f>
        <v>professormira1</v>
      </c>
      <c r="B15" s="2" t="str">
        <f>IFERROR(__xludf.DUMMYFUNCTION("""COMPUTED_VALUE"""),"Professor Mira")</f>
        <v>Professor Mira</v>
      </c>
      <c r="C15" s="2" t="str">
        <f>IFERROR(__xludf.DUMMYFUNCTION("""COMPUTED_VALUE"""),"Analista CNPI, Investidor Profissional, trader e especialista em finanças e Investimentos.")</f>
        <v>Analista CNPI, Investidor Profissional, trader e especialista em finanças e Investimentos.</v>
      </c>
      <c r="D15" s="1">
        <f>IFERROR(__xludf.DUMMYFUNCTION("""COMPUTED_VALUE"""),0.0022481388970090415)</f>
        <v>0.002248138897</v>
      </c>
      <c r="E15" s="3">
        <f>IFERROR(__xludf.DUMMYFUNCTION("""COMPUTED_VALUE"""),3193.0)</f>
        <v>3193</v>
      </c>
    </row>
    <row r="16">
      <c r="A16" s="1" t="str">
        <f>IFERROR(__xludf.DUMMYFUNCTION("""COMPUTED_VALUE"""),"leiamoneytimes")</f>
        <v>leiamoneytimes</v>
      </c>
      <c r="B16" s="2" t="str">
        <f>IFERROR(__xludf.DUMMYFUNCTION("""COMPUTED_VALUE"""),"Money Times")</f>
        <v>Money Times</v>
      </c>
      <c r="C16" s="2" t="str">
        <f>IFERROR(__xludf.DUMMYFUNCTION("""COMPUTED_VALUE"""),"🗞️💰💡 Notícias que enriquecem seu dia! 
Não é apenas sobre publicar notícias, é sobre como pensamos o jornalismo. 
Siga 👉 @leiacryptotimes e @leiaagrotimes")</f>
        <v>🗞️💰💡 Notícias que enriquecem seu dia! 
Não é apenas sobre publicar notícias, é sobre como pensamos o jornalismo. 
Siga 👉 @leiacryptotimes e @leiaagrotimes</v>
      </c>
      <c r="D16" s="1">
        <f>IFERROR(__xludf.DUMMYFUNCTION("""COMPUTED_VALUE"""),0.0021422005537550088)</f>
        <v>0.002142200554</v>
      </c>
      <c r="E16" s="3">
        <f>IFERROR(__xludf.DUMMYFUNCTION("""COMPUTED_VALUE"""),141888.0)</f>
        <v>141888</v>
      </c>
    </row>
    <row r="17">
      <c r="A17" s="1" t="str">
        <f>IFERROR(__xludf.DUMMYFUNCTION("""COMPUTED_VALUE"""),"organizze")</f>
        <v>organizze</v>
      </c>
      <c r="B17" s="2" t="str">
        <f>IFERROR(__xludf.DUMMYFUNCTION("""COMPUTED_VALUE"""),"Organizze")</f>
        <v>Organizze</v>
      </c>
      <c r="C17" s="2" t="str">
        <f>IFERROR(__xludf.DUMMYFUNCTION("""COMPUTED_VALUE"""),"O controle financeiro completo que vai aposentar de vez sua planilha. 
Acesse pela Web ou baixe no seu Android ou iOS!")</f>
        <v>O controle financeiro completo que vai aposentar de vez sua planilha. 
Acesse pela Web ou baixe no seu Android ou iOS!</v>
      </c>
      <c r="D17" s="1">
        <f>IFERROR(__xludf.DUMMYFUNCTION("""COMPUTED_VALUE"""),0.0019269124496703708)</f>
        <v>0.00192691245</v>
      </c>
      <c r="E17" s="3">
        <f>IFERROR(__xludf.DUMMYFUNCTION("""COMPUTED_VALUE"""),4801.0)</f>
        <v>4801</v>
      </c>
    </row>
    <row r="18">
      <c r="A18" s="1" t="str">
        <f>IFERROR(__xludf.DUMMYFUNCTION("""COMPUTED_VALUE"""),"agoracorretora")</f>
        <v>agoracorretora</v>
      </c>
      <c r="B18" s="2" t="str">
        <f>IFERROR(__xludf.DUMMYFUNCTION("""COMPUTED_VALUE"""),"Ágora Investimentos")</f>
        <v>Ágora Investimentos</v>
      </c>
      <c r="C18" s="2" t="str">
        <f>IFERROR(__xludf.DUMMYFUNCTION("""COMPUTED_VALUE"""),"Transparência, rentabilidade e segurança são os objetivos da nossa casa de investimentos.")</f>
        <v>Transparência, rentabilidade e segurança são os objetivos da nossa casa de investimentos.</v>
      </c>
      <c r="D18" s="1">
        <f>IFERROR(__xludf.DUMMYFUNCTION("""COMPUTED_VALUE"""),0.0018322073341366122)</f>
        <v>0.001832207334</v>
      </c>
      <c r="E18" s="3">
        <f>IFERROR(__xludf.DUMMYFUNCTION("""COMPUTED_VALUE"""),31787.0)</f>
        <v>31787</v>
      </c>
    </row>
    <row r="19">
      <c r="A19" s="1" t="str">
        <f>IFERROR(__xludf.DUMMYFUNCTION("""COMPUTED_VALUE"""),"ricamconsult")</f>
        <v>ricamconsult</v>
      </c>
      <c r="B19" s="2" t="str">
        <f>IFERROR(__xludf.DUMMYFUNCTION("""COMPUTED_VALUE"""),"Ricardo Amorim")</f>
        <v>Ricardo Amorim</v>
      </c>
      <c r="C19" s="2" t="str">
        <f>IFERROR(__xludf.DUMMYFUNCTION("""COMPUTED_VALUE"""),"Economista sem economês e com bom humor. Ganhador dos Prêmios iBest de Economia e Negócios, Opinião e Cidadania e maior influenciador do LinkedIn.")</f>
        <v>Economista sem economês e com bom humor. Ganhador dos Prêmios iBest de Economia e Negócios, Opinião e Cidadania e maior influenciador do LinkedIn.</v>
      </c>
      <c r="D19" s="1">
        <f>IFERROR(__xludf.DUMMYFUNCTION("""COMPUTED_VALUE"""),0.001467804083128432)</f>
        <v>0.001467804083</v>
      </c>
      <c r="E19" s="3">
        <f>IFERROR(__xludf.DUMMYFUNCTION("""COMPUTED_VALUE"""),1511945.0)</f>
        <v>1511945</v>
      </c>
    </row>
    <row r="20">
      <c r="A20" s="1" t="str">
        <f>IFERROR(__xludf.DUMMYFUNCTION("""COMPUTED_VALUE"""),"sigaif")</f>
        <v>sigaif</v>
      </c>
      <c r="B20" s="2" t="str">
        <f>IFERROR(__xludf.DUMMYFUNCTION("""COMPUTED_VALUE"""),"Inteligência Financeira")</f>
        <v>Inteligência Financeira</v>
      </c>
      <c r="C20" s="2" t="str">
        <f>IFERROR(__xludf.DUMMYFUNCTION("""COMPUTED_VALUE"""),"Nossa plataforma transforma a sua jornada financeira. Pra gente, informação é investimento.")</f>
        <v>Nossa plataforma transforma a sua jornada financeira. Pra gente, informação é investimento.</v>
      </c>
      <c r="D20" s="1">
        <f>IFERROR(__xludf.DUMMYFUNCTION("""COMPUTED_VALUE"""),0.001467804083128432)</f>
        <v>0.001467804083</v>
      </c>
      <c r="E20" s="3">
        <f>IFERROR(__xludf.DUMMYFUNCTION("""COMPUTED_VALUE"""),4756.0)</f>
        <v>4756</v>
      </c>
    </row>
    <row r="21">
      <c r="A21" s="1" t="str">
        <f>IFERROR(__xludf.DUMMYFUNCTION("""COMPUTED_VALUE"""),"thiagonigro")</f>
        <v>thiagonigro</v>
      </c>
      <c r="B21" s="2" t="str">
        <f>IFERROR(__xludf.DUMMYFUNCTION("""COMPUTED_VALUE"""),"Thiago Nigro")</f>
        <v>Thiago Nigro</v>
      </c>
      <c r="C21" s="2" t="str">
        <f>IFERROR(__xludf.DUMMYFUNCTION("""COMPUTED_VALUE"""),"O Primo Rico | Investimentos, Empreendedorismo e Finanças.")</f>
        <v>O Primo Rico | Investimentos, Empreendedorismo e Finanças.</v>
      </c>
      <c r="D21" s="1">
        <f>IFERROR(__xludf.DUMMYFUNCTION("""COMPUTED_VALUE"""),0.001467804083128432)</f>
        <v>0.001467804083</v>
      </c>
      <c r="E21" s="3">
        <f>IFERROR(__xludf.DUMMYFUNCTION("""COMPUTED_VALUE"""),449484.0)</f>
        <v>449484</v>
      </c>
    </row>
    <row r="22">
      <c r="A22" s="1" t="str">
        <f>IFERROR(__xludf.DUMMYFUNCTION("""COMPUTED_VALUE"""),"mendlowicz")</f>
        <v>mendlowicz</v>
      </c>
      <c r="B22" s="2" t="str">
        <f>IFERROR(__xludf.DUMMYFUNCTION("""COMPUTED_VALUE"""),"Economista Sincero")</f>
        <v>Economista Sincero</v>
      </c>
      <c r="C22" s="2" t="str">
        <f>IFERROR(__xludf.DUMMYFUNCTION("""COMPUTED_VALUE"""),"🏦 2 x TOP 1 Influenciador de Investimentos do Brasil ANBIMA
👊 Economia sem Enrolação")</f>
        <v>🏦 2 x TOP 1 Influenciador de Investimentos do Brasil ANBIMA
👊 Economia sem Enrolação</v>
      </c>
      <c r="D22" s="1">
        <f>IFERROR(__xludf.DUMMYFUNCTION("""COMPUTED_VALUE"""),0.001467804083128432)</f>
        <v>0.001467804083</v>
      </c>
      <c r="E22" s="3">
        <f>IFERROR(__xludf.DUMMYFUNCTION("""COMPUTED_VALUE"""),150505.0)</f>
        <v>150505</v>
      </c>
    </row>
    <row r="23">
      <c r="A23" s="1" t="str">
        <f>IFERROR(__xludf.DUMMYFUNCTION("""COMPUTED_VALUE"""),"calilecalil")</f>
        <v>calilecalil</v>
      </c>
      <c r="B23" s="2" t="str">
        <f>IFERROR(__xludf.DUMMYFUNCTION("""COMPUTED_VALUE"""),"Academia do Dinheiro")</f>
        <v>Academia do Dinheiro</v>
      </c>
      <c r="C23" s="2" t="str">
        <f>IFERROR(__xludf.DUMMYFUNCTION("""COMPUTED_VALUE"""),"Palestrante, Consultor com + de 1.000 atendimentos, investidor na Bolsa há + de 20 anos. Mestre pela USP,  Autor de best-sellers em finanças pessoais.")</f>
        <v>Palestrante, Consultor com + de 1.000 atendimentos, investidor na Bolsa há + de 20 anos. Mestre pela USP,  Autor de best-sellers em finanças pessoais.</v>
      </c>
      <c r="D23" s="1">
        <f>IFERROR(__xludf.DUMMYFUNCTION("""COMPUTED_VALUE"""),0.001467804083128432)</f>
        <v>0.001467804083</v>
      </c>
      <c r="E23" s="3">
        <f>IFERROR(__xludf.DUMMYFUNCTION("""COMPUTED_VALUE"""),6469.0)</f>
        <v>6469</v>
      </c>
    </row>
    <row r="24">
      <c r="A24" s="1" t="str">
        <f>IFERROR(__xludf.DUMMYFUNCTION("""COMPUTED_VALUE"""),"centralnath")</f>
        <v>centralnath</v>
      </c>
      <c r="B24" s="2" t="str">
        <f>IFERROR(__xludf.DUMMYFUNCTION("""COMPUTED_VALUE"""),"Central Nath Finanças")</f>
        <v>Central Nath Finanças</v>
      </c>
      <c r="C24" s="2" t="str">
        <f>IFERROR(__xludf.DUMMYFUNCTION("""COMPUTED_VALUE"""),"Sua fonte oficial de notícias sobre a orientadora financeira @nathfinancas. Tem alguma dúvida? Chama a gente! | adm por #EquipeNathFinancas 💜💰")</f>
        <v>Sua fonte oficial de notícias sobre a orientadora financeira @nathfinancas. Tem alguma dúvida? Chama a gente! | adm por #EquipeNathFinancas 💜💰</v>
      </c>
      <c r="D24" s="1">
        <f>IFERROR(__xludf.DUMMYFUNCTION("""COMPUTED_VALUE"""),0.001467804083128432)</f>
        <v>0.001467804083</v>
      </c>
      <c r="E24" s="3">
        <f>IFERROR(__xludf.DUMMYFUNCTION("""COMPUTED_VALUE"""),51628.0)</f>
        <v>51628</v>
      </c>
    </row>
    <row r="25">
      <c r="A25" s="1" t="str">
        <f>IFERROR(__xludf.DUMMYFUNCTION("""COMPUTED_VALUE"""),"gcerbasi")</f>
        <v>gcerbasi</v>
      </c>
      <c r="B25" s="2" t="str">
        <f>IFERROR(__xludf.DUMMYFUNCTION("""COMPUTED_VALUE"""),"Gustavo Cerbasi")</f>
        <v>Gustavo Cerbasi</v>
      </c>
      <c r="C25" s="2" t="str">
        <f>IFERROR(__xludf.DUMMYFUNCTION("""COMPUTED_VALUE"""),"Inteligência Financeira é pensar sua riqueza de maneira diferente! /Facebook Gustavo Cerbasi /Instagram GustavoCerbasi / YouTube Gustavo Cerbasi")</f>
        <v>Inteligência Financeira é pensar sua riqueza de maneira diferente! /Facebook Gustavo Cerbasi /Instagram GustavoCerbasi / YouTube Gustavo Cerbasi</v>
      </c>
      <c r="D25" s="1">
        <f>IFERROR(__xludf.DUMMYFUNCTION("""COMPUTED_VALUE"""),0.0011787770242884705)</f>
        <v>0.001178777024</v>
      </c>
      <c r="E25" s="3">
        <f>IFERROR(__xludf.DUMMYFUNCTION("""COMPUTED_VALUE"""),103626.0)</f>
        <v>103626</v>
      </c>
    </row>
    <row r="26">
      <c r="A26" s="1" t="str">
        <f>IFERROR(__xludf.DUMMYFUNCTION("""COMPUTED_VALUE"""),"luciana__seabra")</f>
        <v>luciana__seabra</v>
      </c>
      <c r="B26" s="2" t="str">
        <f>IFERROR(__xludf.DUMMYFUNCTION("""COMPUTED_VALUE"""),"Luciana Seabra")</f>
        <v>Luciana Seabra</v>
      </c>
      <c r="C26" s="2" t="str">
        <f>IFERROR(__xludf.DUMMYFUNCTION("""COMPUTED_VALUE"""),"Analista independente de fundos e previdência, CFP®, CNPI 👊Ativista do acesso a investimentos de qualidade 🤦🏻‍♀️Pesadelo: investidor em produto caro e ruim")</f>
        <v>Analista independente de fundos e previdência, CFP®, CNPI 👊Ativista do acesso a investimentos de qualidade 🤦🏻‍♀️Pesadelo: investidor em produto caro e ruim</v>
      </c>
      <c r="D26" s="1">
        <f>IFERROR(__xludf.DUMMYFUNCTION("""COMPUTED_VALUE"""),0.0010535192171287249)</f>
        <v>0.001053519217</v>
      </c>
      <c r="E26" s="3">
        <f>IFERROR(__xludf.DUMMYFUNCTION("""COMPUTED_VALUE"""),70121.0)</f>
        <v>70121</v>
      </c>
    </row>
    <row r="27">
      <c r="A27" s="1" t="str">
        <f>IFERROR(__xludf.DUMMYFUNCTION("""COMPUTED_VALUE"""),"mepoupenaweb")</f>
        <v>mepoupenaweb</v>
      </c>
      <c r="B27" s="2" t="str">
        <f>IFERROR(__xludf.DUMMYFUNCTION("""COMPUTED_VALUE"""),"Me Poupe!")</f>
        <v>Me Poupe!</v>
      </c>
      <c r="C27" s="2" t="str">
        <f>IFERROR(__xludf.DUMMYFUNCTION("""COMPUTED_VALUE"""),"A finpactech que usa inovação para desf*der a nação.
TURBINE SUA RENDA EXTRA:
PROGRAMA DE AFILIAÇÃO MP!
COM 20% DE COMISSÃO👇")</f>
        <v>A finpactech que usa inovação para desf*der a nação.
TURBINE SUA RENDA EXTRA:
PROGRAMA DE AFILIAÇÃO MP!
COM 20% DE COMISSÃO👇</v>
      </c>
      <c r="D27" s="1">
        <f>IFERROR(__xludf.DUMMYFUNCTION("""COMPUTED_VALUE"""),0.0010535192171287249)</f>
        <v>0.001053519217</v>
      </c>
      <c r="E27" s="3">
        <f>IFERROR(__xludf.DUMMYFUNCTION("""COMPUTED_VALUE"""),49490.0)</f>
        <v>49490</v>
      </c>
    </row>
    <row r="28">
      <c r="A28" s="1" t="str">
        <f>IFERROR(__xludf.DUMMYFUNCTION("""COMPUTED_VALUE"""),"sunoasset")</f>
        <v>sunoasset</v>
      </c>
      <c r="B28" s="2" t="str">
        <f>IFERROR(__xludf.DUMMYFUNCTION("""COMPUTED_VALUE"""),"Suno Asset")</f>
        <v>Suno Asset</v>
      </c>
      <c r="C28" s="2" t="str">
        <f>IFERROR(__xludf.DUMMYFUNCTION("""COMPUTED_VALUE"""),"🔴 Grupo Suno
📊 Gestora de recursos independente
👉 Soluções de investimento para você
🚀 Mais sobre os nossos fundos 👇")</f>
        <v>🔴 Grupo Suno
📊 Gestora de recursos independente
👉 Soluções de investimento para você
🚀 Mais sobre os nossos fundos 👇</v>
      </c>
      <c r="D28" s="1">
        <f>IFERROR(__xludf.DUMMYFUNCTION("""COMPUTED_VALUE"""),9.627909121010884E-4)</f>
        <v>0.0009627909121</v>
      </c>
      <c r="E28" s="3">
        <f>IFERROR(__xludf.DUMMYFUNCTION("""COMPUTED_VALUE"""),4857.0)</f>
        <v>4857</v>
      </c>
    </row>
    <row r="29">
      <c r="A29" s="1" t="str">
        <f>IFERROR(__xludf.DUMMYFUNCTION("""COMPUTED_VALUE"""),"joaokepler")</f>
        <v>joaokepler</v>
      </c>
      <c r="B29" s="2" t="str">
        <f>IFERROR(__xludf.DUMMYFUNCTION("""COMPUTED_VALUE"""),"João Kepler")</f>
        <v>João Kepler</v>
      </c>
      <c r="C29" s="2" t="str">
        <f>IFERROR(__xludf.DUMMYFUNCTION("""COMPUTED_VALUE"""),"Escritor l Educador l Investidor Anjo l CEO na @bossainvest | Venture Capital l Best-sellers: Smart Money e o Poder do Equity | Investindo em GENTE &amp; STARTUPS")</f>
        <v>Escritor l Educador l Investidor Anjo l CEO na @bossainvest | Venture Capital l Best-sellers: Smart Money e o Poder do Equity | Investindo em GENTE &amp; STARTUPS</v>
      </c>
      <c r="D29" s="1">
        <f>IFERROR(__xludf.DUMMYFUNCTION("""COMPUTED_VALUE"""),8.452842640885149E-4)</f>
        <v>0.0008452842641</v>
      </c>
      <c r="E29" s="3">
        <f>IFERROR(__xludf.DUMMYFUNCTION("""COMPUTED_VALUE"""),16313.0)</f>
        <v>16313</v>
      </c>
    </row>
    <row r="30">
      <c r="A30" s="1" t="str">
        <f>IFERROR(__xludf.DUMMYFUNCTION("""COMPUTED_VALUE"""),"jornalcontabil_")</f>
        <v>jornalcontabil_</v>
      </c>
      <c r="B30" s="2" t="str">
        <f>IFERROR(__xludf.DUMMYFUNCTION("""COMPUTED_VALUE"""),"Jornal Contábil")</f>
        <v>Jornal Contábil</v>
      </c>
      <c r="C30" s="4" t="str">
        <f>IFERROR(__xludf.DUMMYFUNCTION("""COMPUTED_VALUE"""),"https://t.co/qlnZ5UsZ7Y")</f>
        <v>https://t.co/qlnZ5UsZ7Y</v>
      </c>
      <c r="D30" s="1">
        <f>IFERROR(__xludf.DUMMYFUNCTION("""COMPUTED_VALUE"""),8.289021635874644E-4)</f>
        <v>0.0008289021636</v>
      </c>
      <c r="E30" s="3">
        <f>IFERROR(__xludf.DUMMYFUNCTION("""COMPUTED_VALUE"""),14737.0)</f>
        <v>14737</v>
      </c>
    </row>
    <row r="31">
      <c r="A31" s="1" t="str">
        <f>IFERROR(__xludf.DUMMYFUNCTION("""COMPUTED_VALUE"""),"crisinveste")</f>
        <v>crisinveste</v>
      </c>
      <c r="B31" s="2" t="str">
        <f>IFERROR(__xludf.DUMMYFUNCTION("""COMPUTED_VALUE"""),"Cristiane Fensterseifer, CNPI, CGA e consultora")</f>
        <v>Cristiane Fensterseifer, CNPI, CGA e consultora</v>
      </c>
      <c r="C31" s="2" t="str">
        <f>IFERROR(__xludf.DUMMYFUNCTION("""COMPUTED_VALUE"""),"Analista, gestora e consultora de investimentos
Assine o ALL IN ONE: RENDA E ALTO POTENCIAL SEM TAXAS!")</f>
        <v>Analista, gestora e consultora de investimentos
Assine o ALL IN ONE: RENDA E ALTO POTENCIAL SEM TAXAS!</v>
      </c>
      <c r="D31" s="1">
        <f>IFERROR(__xludf.DUMMYFUNCTION("""COMPUTED_VALUE"""),7.934076125018551E-4)</f>
        <v>0.0007934076125</v>
      </c>
      <c r="E31" s="3">
        <f>IFERROR(__xludf.DUMMYFUNCTION("""COMPUTED_VALUE"""),12145.0)</f>
        <v>12145</v>
      </c>
    </row>
    <row r="32">
      <c r="A32" s="1" t="str">
        <f>IFERROR(__xludf.DUMMYFUNCTION("""COMPUTED_VALUE"""),"anderson77i")</f>
        <v>anderson77i</v>
      </c>
      <c r="B32" s="2" t="str">
        <f>IFERROR(__xludf.DUMMYFUNCTION("""COMPUTED_VALUE"""),"Anderson de Andrade")</f>
        <v>Anderson de Andrade</v>
      </c>
      <c r="C32" s="2" t="str">
        <f>IFERROR(__xludf.DUMMYFUNCTION("""COMPUTED_VALUE"""),"VP @ Organizze Membro do Conselho de Administração @ Brivia Group Empreendedor e investidor serial apaixonado por scale-ups e venture capital")</f>
        <v>VP @ Organizze Membro do Conselho de Administração @ Brivia Group Empreendedor e investidor serial apaixonado por scale-ups e venture capital</v>
      </c>
      <c r="D32" s="1">
        <f>IFERROR(__xludf.DUMMYFUNCTION("""COMPUTED_VALUE"""),7.934076125018551E-4)</f>
        <v>0.0007934076125</v>
      </c>
      <c r="E32" s="3">
        <f>IFERROR(__xludf.DUMMYFUNCTION("""COMPUTED_VALUE"""),2034.0)</f>
        <v>2034</v>
      </c>
    </row>
    <row r="33">
      <c r="A33" s="1" t="str">
        <f>IFERROR(__xludf.DUMMYFUNCTION("""COMPUTED_VALUE"""),"multimidiainfo")</f>
        <v>multimidiainfo</v>
      </c>
      <c r="B33" s="2" t="str">
        <f>IFERROR(__xludf.DUMMYFUNCTION("""COMPUTED_VALUE"""),"MultiMidia Info")</f>
        <v>MultiMidia Info</v>
      </c>
      <c r="C33" s="2" t="str">
        <f>IFERROR(__xludf.DUMMYFUNCTION("""COMPUTED_VALUE"""),"Tecnologia, Mercado financeiro, Cenário musical, Notícias locais e+. #MultiMidiaInfo
Se inscreva em nosso canal do YouTube:
https://t.co/0EvvE3Jzv8")</f>
        <v>Tecnologia, Mercado financeiro, Cenário musical, Notícias locais e+. #MultiMidiaInfo
Se inscreva em nosso canal do YouTube:
https://t.co/0EvvE3Jzv8</v>
      </c>
      <c r="D33" s="1">
        <f>IFERROR(__xludf.DUMMYFUNCTION("""COMPUTED_VALUE"""),7.934076125018551E-4)</f>
        <v>0.0007934076125</v>
      </c>
      <c r="E33" s="3">
        <f>IFERROR(__xludf.DUMMYFUNCTION("""COMPUTED_VALUE"""),15134.0)</f>
        <v>15134</v>
      </c>
    </row>
    <row r="34">
      <c r="A34" s="1" t="str">
        <f>IFERROR(__xludf.DUMMYFUNCTION("""COMPUTED_VALUE"""),"sistemacndl")</f>
        <v>sistemacndl</v>
      </c>
      <c r="B34" s="2" t="str">
        <f>IFERROR(__xludf.DUMMYFUNCTION("""COMPUTED_VALUE"""),"CNDL")</f>
        <v>CNDL</v>
      </c>
      <c r="C34" s="2" t="str">
        <f>IFERROR(__xludf.DUMMYFUNCTION("""COMPUTED_VALUE"""),"Confederação Nacional de Dirigentes Lojistas.
Há 62 anos, nossa missão é representar e fortalecer o varejo brasileiro. #JuntosSomosMaisFortes 👊🤝")</f>
        <v>Confederação Nacional de Dirigentes Lojistas.
Há 62 anos, nossa missão é representar e fortalecer o varejo brasileiro. #JuntosSomosMaisFortes 👊🤝</v>
      </c>
      <c r="D34" s="1">
        <f>IFERROR(__xludf.DUMMYFUNCTION("""COMPUTED_VALUE"""),7.934076125018551E-4)</f>
        <v>0.0007934076125</v>
      </c>
      <c r="E34" s="3">
        <f>IFERROR(__xludf.DUMMYFUNCTION("""COMPUTED_VALUE"""),8377.0)</f>
        <v>8377</v>
      </c>
    </row>
    <row r="35">
      <c r="A35" s="1" t="str">
        <f>IFERROR(__xludf.DUMMYFUNCTION("""COMPUTED_VALUE"""),"dividazero")</f>
        <v>dividazero</v>
      </c>
      <c r="B35" s="2" t="str">
        <f>IFERROR(__xludf.DUMMYFUNCTION("""COMPUTED_VALUE"""),"Dívida Zero - Cae Galvão")</f>
        <v>Dívida Zero - Cae Galvão</v>
      </c>
      <c r="C35" s="2" t="str">
        <f>IFERROR(__xludf.DUMMYFUNCTION("""COMPUTED_VALUE"""),"Educador financeiro, idealizador do Canal Dívida Zero, escritor, Palestrante corporativo - promovendo bem-estar financeiro
Ajudo empreendedores nas Finanças")</f>
        <v>Educador financeiro, idealizador do Canal Dívida Zero, escritor, Palestrante corporativo - promovendo bem-estar financeiro
Ajudo empreendedores nas Finanças</v>
      </c>
      <c r="D35" s="1">
        <f>IFERROR(__xludf.DUMMYFUNCTION("""COMPUTED_VALUE"""),7.934076125018551E-4)</f>
        <v>0.0007934076125</v>
      </c>
      <c r="E35" s="3">
        <f>IFERROR(__xludf.DUMMYFUNCTION("""COMPUTED_VALUE"""),1395.0)</f>
        <v>1395</v>
      </c>
    </row>
    <row r="36">
      <c r="B36" s="2"/>
      <c r="C36" s="2"/>
    </row>
    <row r="37">
      <c r="B37" s="2"/>
      <c r="C37" s="2"/>
    </row>
    <row r="38">
      <c r="B38" s="2"/>
      <c r="C38" s="2"/>
    </row>
    <row r="39">
      <c r="B39" s="2"/>
      <c r="C39" s="2"/>
    </row>
    <row r="40">
      <c r="B40" s="2"/>
      <c r="C40" s="2"/>
    </row>
    <row r="41">
      <c r="B41" s="2"/>
      <c r="C41" s="2"/>
    </row>
    <row r="42">
      <c r="B42" s="2"/>
      <c r="C42" s="2"/>
    </row>
    <row r="43">
      <c r="B43" s="2"/>
      <c r="C43" s="2"/>
    </row>
    <row r="44">
      <c r="B44" s="2"/>
      <c r="C44" s="2"/>
    </row>
    <row r="45">
      <c r="B45" s="2"/>
      <c r="C45" s="2"/>
    </row>
    <row r="46">
      <c r="B46" s="2"/>
      <c r="C46" s="2"/>
    </row>
    <row r="47">
      <c r="B47" s="2"/>
      <c r="C47" s="2"/>
    </row>
    <row r="48">
      <c r="B48" s="2"/>
      <c r="C48" s="2"/>
    </row>
    <row r="49">
      <c r="B49" s="2"/>
      <c r="C49" s="2"/>
    </row>
    <row r="50">
      <c r="B50" s="2"/>
      <c r="C50" s="2"/>
    </row>
    <row r="51">
      <c r="B51" s="2"/>
      <c r="C51" s="2"/>
    </row>
    <row r="52">
      <c r="B52" s="2"/>
      <c r="C52" s="2"/>
    </row>
    <row r="53">
      <c r="B53" s="2"/>
      <c r="C53" s="2"/>
    </row>
    <row r="54">
      <c r="B54" s="2"/>
      <c r="C54" s="2"/>
    </row>
    <row r="55">
      <c r="B55" s="2"/>
      <c r="C55" s="2"/>
    </row>
    <row r="56">
      <c r="B56" s="2"/>
      <c r="C56" s="2"/>
    </row>
    <row r="57">
      <c r="B57" s="2"/>
      <c r="C57" s="2"/>
    </row>
    <row r="58">
      <c r="B58" s="2"/>
      <c r="C58" s="2"/>
    </row>
    <row r="59">
      <c r="B59" s="2"/>
      <c r="C59" s="2"/>
    </row>
    <row r="60">
      <c r="B60" s="2"/>
      <c r="C60" s="2"/>
    </row>
    <row r="61">
      <c r="B61" s="2"/>
      <c r="C61" s="2"/>
    </row>
    <row r="62">
      <c r="B62" s="2"/>
      <c r="C62" s="2"/>
    </row>
    <row r="63">
      <c r="B63" s="2"/>
      <c r="C63" s="2"/>
    </row>
    <row r="64">
      <c r="B64" s="2"/>
      <c r="C64" s="2"/>
    </row>
    <row r="65">
      <c r="B65" s="2"/>
      <c r="C65" s="2"/>
    </row>
    <row r="66">
      <c r="B66" s="2"/>
      <c r="C66" s="2"/>
    </row>
    <row r="67">
      <c r="B67" s="2"/>
      <c r="C67" s="2"/>
    </row>
    <row r="68">
      <c r="B68" s="2"/>
      <c r="C68" s="2"/>
    </row>
    <row r="69">
      <c r="B69" s="2"/>
      <c r="C69" s="2"/>
    </row>
    <row r="70">
      <c r="B70" s="2"/>
      <c r="C70" s="2"/>
    </row>
    <row r="71">
      <c r="B71" s="2"/>
      <c r="C71" s="2"/>
    </row>
    <row r="72">
      <c r="B72" s="2"/>
      <c r="C72" s="2"/>
    </row>
    <row r="73">
      <c r="B73" s="2"/>
      <c r="C73" s="2"/>
    </row>
    <row r="74">
      <c r="B74" s="2"/>
      <c r="C74" s="2"/>
    </row>
    <row r="75">
      <c r="B75" s="2"/>
      <c r="C75" s="2"/>
    </row>
    <row r="76">
      <c r="B76" s="2"/>
      <c r="C76" s="2"/>
    </row>
    <row r="77">
      <c r="B77" s="2"/>
      <c r="C77" s="2"/>
    </row>
    <row r="78">
      <c r="B78" s="2"/>
      <c r="C78" s="2"/>
    </row>
    <row r="79">
      <c r="B79" s="2"/>
      <c r="C79" s="2"/>
    </row>
    <row r="80">
      <c r="B80" s="2"/>
      <c r="C80" s="2"/>
    </row>
    <row r="81">
      <c r="B81" s="2"/>
      <c r="C81" s="2"/>
    </row>
    <row r="82">
      <c r="B82" s="2"/>
      <c r="C82" s="2"/>
    </row>
    <row r="83">
      <c r="B83" s="2"/>
      <c r="C83" s="2"/>
    </row>
    <row r="84">
      <c r="B84" s="2"/>
      <c r="C84" s="2"/>
    </row>
    <row r="85">
      <c r="B85" s="2"/>
      <c r="C85" s="2"/>
    </row>
    <row r="86">
      <c r="B86" s="2"/>
      <c r="C86" s="2"/>
    </row>
    <row r="87">
      <c r="B87" s="2"/>
      <c r="C87" s="2"/>
    </row>
    <row r="88">
      <c r="B88" s="2"/>
      <c r="C88" s="2"/>
    </row>
    <row r="89">
      <c r="B89" s="2"/>
      <c r="C89" s="2"/>
    </row>
    <row r="90">
      <c r="B90" s="2"/>
      <c r="C90" s="2"/>
    </row>
    <row r="91">
      <c r="B91" s="2"/>
      <c r="C91" s="2"/>
    </row>
    <row r="92">
      <c r="B92" s="2"/>
      <c r="C92" s="2"/>
    </row>
    <row r="93">
      <c r="B93" s="2"/>
      <c r="C93" s="2"/>
    </row>
    <row r="94">
      <c r="B94" s="2"/>
      <c r="C94" s="2"/>
    </row>
    <row r="95">
      <c r="B95" s="2"/>
      <c r="C95" s="2"/>
    </row>
    <row r="96">
      <c r="B96" s="2"/>
      <c r="C96" s="2"/>
    </row>
    <row r="97">
      <c r="B97" s="2"/>
      <c r="C97" s="2"/>
    </row>
    <row r="98">
      <c r="B98" s="2"/>
      <c r="C98" s="2"/>
    </row>
    <row r="99">
      <c r="B99" s="2"/>
      <c r="C99" s="2"/>
    </row>
    <row r="100">
      <c r="B100" s="2"/>
      <c r="C100" s="2"/>
    </row>
    <row r="101">
      <c r="B101" s="2"/>
      <c r="C101" s="2"/>
    </row>
    <row r="102">
      <c r="B102" s="2"/>
      <c r="C102" s="2"/>
    </row>
    <row r="103">
      <c r="B103" s="2"/>
      <c r="C103" s="2"/>
    </row>
    <row r="104">
      <c r="B104" s="2"/>
      <c r="C104" s="2"/>
    </row>
    <row r="105">
      <c r="B105" s="2"/>
      <c r="C105" s="2"/>
    </row>
    <row r="106">
      <c r="B106" s="2"/>
      <c r="C106" s="2"/>
    </row>
    <row r="107">
      <c r="B107" s="2"/>
      <c r="C107" s="2"/>
    </row>
    <row r="108">
      <c r="B108" s="2"/>
      <c r="C108" s="2"/>
    </row>
    <row r="109">
      <c r="B109" s="2"/>
      <c r="C109" s="2"/>
    </row>
    <row r="110">
      <c r="B110" s="2"/>
      <c r="C110" s="2"/>
    </row>
    <row r="111">
      <c r="B111" s="2"/>
      <c r="C111" s="2"/>
    </row>
    <row r="112">
      <c r="B112" s="2"/>
      <c r="C112" s="2"/>
    </row>
    <row r="113">
      <c r="B113" s="2"/>
      <c r="C113" s="2"/>
    </row>
    <row r="114">
      <c r="B114" s="2"/>
      <c r="C114" s="2"/>
    </row>
    <row r="115">
      <c r="B115" s="2"/>
      <c r="C115" s="2"/>
    </row>
    <row r="116">
      <c r="B116" s="2"/>
      <c r="C116" s="2"/>
    </row>
    <row r="117">
      <c r="B117" s="2"/>
      <c r="C117" s="2"/>
    </row>
    <row r="118">
      <c r="B118" s="2"/>
      <c r="C118" s="2"/>
    </row>
    <row r="119">
      <c r="B119" s="2"/>
      <c r="C119" s="2"/>
    </row>
    <row r="120">
      <c r="B120" s="2"/>
      <c r="C120" s="2"/>
    </row>
    <row r="121">
      <c r="B121" s="2"/>
      <c r="C121" s="2"/>
    </row>
    <row r="122">
      <c r="B122" s="2"/>
      <c r="C122" s="2"/>
    </row>
    <row r="123">
      <c r="B123" s="2"/>
      <c r="C123" s="2"/>
    </row>
    <row r="124">
      <c r="B124" s="2"/>
      <c r="C124" s="2"/>
    </row>
    <row r="125">
      <c r="B125" s="2"/>
      <c r="C125" s="2"/>
    </row>
    <row r="126">
      <c r="B126" s="2"/>
      <c r="C126" s="2"/>
    </row>
    <row r="127">
      <c r="B127" s="2"/>
      <c r="C127" s="2"/>
    </row>
    <row r="128">
      <c r="B128" s="2"/>
      <c r="C128" s="2"/>
    </row>
    <row r="129">
      <c r="B129" s="2"/>
      <c r="C129" s="2"/>
    </row>
    <row r="130">
      <c r="B130" s="2"/>
      <c r="C130" s="2"/>
    </row>
    <row r="131">
      <c r="B131" s="2"/>
      <c r="C131" s="2"/>
    </row>
    <row r="132">
      <c r="B132" s="2"/>
      <c r="C132" s="2"/>
    </row>
    <row r="133">
      <c r="B133" s="2"/>
      <c r="C133" s="2"/>
    </row>
    <row r="134">
      <c r="B134" s="2"/>
      <c r="C134" s="2"/>
    </row>
    <row r="135">
      <c r="B135" s="2"/>
      <c r="C135" s="2"/>
    </row>
    <row r="136">
      <c r="B136" s="2"/>
      <c r="C136" s="2"/>
    </row>
    <row r="137">
      <c r="B137" s="2"/>
      <c r="C137" s="2"/>
    </row>
    <row r="138">
      <c r="B138" s="2"/>
      <c r="C138" s="2"/>
    </row>
    <row r="139">
      <c r="B139" s="2"/>
      <c r="C139" s="2"/>
    </row>
    <row r="140">
      <c r="B140" s="2"/>
      <c r="C140" s="2"/>
    </row>
    <row r="141">
      <c r="B141" s="2"/>
      <c r="C141" s="2"/>
    </row>
    <row r="142">
      <c r="B142" s="2"/>
      <c r="C142" s="2"/>
    </row>
    <row r="143">
      <c r="B143" s="2"/>
      <c r="C143" s="2"/>
    </row>
    <row r="144">
      <c r="B144" s="2"/>
      <c r="C144" s="2"/>
    </row>
    <row r="145">
      <c r="B145" s="2"/>
      <c r="C145" s="2"/>
    </row>
    <row r="146">
      <c r="B146" s="2"/>
      <c r="C146" s="2"/>
    </row>
    <row r="147">
      <c r="B147" s="2"/>
      <c r="C147" s="2"/>
    </row>
    <row r="148">
      <c r="B148" s="2"/>
      <c r="C148" s="2"/>
    </row>
    <row r="149">
      <c r="B149" s="2"/>
      <c r="C149" s="2"/>
    </row>
    <row r="150">
      <c r="B150" s="2"/>
      <c r="C150" s="2"/>
    </row>
    <row r="151">
      <c r="B151" s="2"/>
      <c r="C151" s="2"/>
    </row>
    <row r="152">
      <c r="B152" s="2"/>
      <c r="C152" s="2"/>
    </row>
    <row r="153">
      <c r="B153" s="2"/>
      <c r="C153" s="2"/>
    </row>
    <row r="154">
      <c r="B154" s="2"/>
      <c r="C154" s="2"/>
    </row>
    <row r="155">
      <c r="B155" s="2"/>
      <c r="C155" s="2"/>
    </row>
    <row r="156">
      <c r="B156" s="2"/>
      <c r="C156" s="2"/>
    </row>
    <row r="157">
      <c r="B157" s="2"/>
      <c r="C157" s="2"/>
    </row>
    <row r="158">
      <c r="B158" s="2"/>
      <c r="C158" s="2"/>
    </row>
    <row r="159">
      <c r="B159" s="2"/>
      <c r="C159" s="2"/>
    </row>
    <row r="160">
      <c r="B160" s="2"/>
      <c r="C160" s="2"/>
    </row>
    <row r="161">
      <c r="B161" s="2"/>
      <c r="C161" s="2"/>
    </row>
    <row r="162">
      <c r="B162" s="2"/>
      <c r="C162" s="2"/>
    </row>
    <row r="163">
      <c r="B163" s="2"/>
      <c r="C163" s="2"/>
    </row>
    <row r="164">
      <c r="B164" s="2"/>
      <c r="C164" s="2"/>
    </row>
    <row r="165">
      <c r="B165" s="2"/>
      <c r="C165" s="2"/>
    </row>
    <row r="166">
      <c r="B166" s="2"/>
      <c r="C166" s="2"/>
    </row>
    <row r="167">
      <c r="B167" s="2"/>
      <c r="C167" s="2"/>
    </row>
    <row r="168">
      <c r="B168" s="2"/>
      <c r="C168" s="2"/>
    </row>
    <row r="169">
      <c r="B169" s="2"/>
      <c r="C169" s="2"/>
    </row>
    <row r="170">
      <c r="B170" s="2"/>
      <c r="C170" s="2"/>
    </row>
    <row r="171">
      <c r="B171" s="2"/>
      <c r="C171" s="2"/>
    </row>
    <row r="172">
      <c r="B172" s="2"/>
      <c r="C172" s="2"/>
    </row>
    <row r="173">
      <c r="B173" s="2"/>
      <c r="C173" s="2"/>
    </row>
    <row r="174">
      <c r="B174" s="2"/>
      <c r="C174" s="2"/>
    </row>
    <row r="175">
      <c r="B175" s="2"/>
      <c r="C175" s="2"/>
    </row>
    <row r="176">
      <c r="B176" s="2"/>
      <c r="C176" s="2"/>
    </row>
    <row r="177">
      <c r="B177" s="2"/>
      <c r="C177" s="2"/>
    </row>
    <row r="178">
      <c r="B178" s="2"/>
      <c r="C178" s="2"/>
    </row>
    <row r="179">
      <c r="B179" s="2"/>
      <c r="C179" s="2"/>
    </row>
    <row r="180">
      <c r="B180" s="2"/>
      <c r="C180" s="2"/>
    </row>
    <row r="181">
      <c r="B181" s="2"/>
      <c r="C181" s="2"/>
    </row>
    <row r="182">
      <c r="B182" s="2"/>
      <c r="C182" s="2"/>
    </row>
    <row r="183">
      <c r="B183" s="2"/>
      <c r="C183" s="2"/>
    </row>
    <row r="184">
      <c r="B184" s="2"/>
      <c r="C184" s="2"/>
    </row>
    <row r="185">
      <c r="B185" s="2"/>
      <c r="C185" s="2"/>
    </row>
    <row r="186">
      <c r="B186" s="2"/>
      <c r="C186" s="2"/>
    </row>
    <row r="187">
      <c r="B187" s="2"/>
      <c r="C187" s="2"/>
    </row>
    <row r="188">
      <c r="B188" s="2"/>
      <c r="C188" s="2"/>
    </row>
    <row r="189">
      <c r="B189" s="2"/>
      <c r="C189" s="2"/>
    </row>
    <row r="190">
      <c r="B190" s="2"/>
      <c r="C190" s="2"/>
    </row>
    <row r="191">
      <c r="B191" s="2"/>
      <c r="C191" s="2"/>
    </row>
    <row r="192">
      <c r="B192" s="2"/>
      <c r="C192" s="2"/>
    </row>
    <row r="193">
      <c r="B193" s="2"/>
      <c r="C193" s="2"/>
    </row>
    <row r="194">
      <c r="B194" s="2"/>
      <c r="C194" s="2"/>
    </row>
    <row r="195">
      <c r="B195" s="2"/>
      <c r="C195" s="2"/>
    </row>
    <row r="196">
      <c r="B196" s="2"/>
      <c r="C196" s="2"/>
    </row>
    <row r="197">
      <c r="B197" s="2"/>
      <c r="C197" s="2"/>
    </row>
    <row r="198">
      <c r="B198" s="2"/>
      <c r="C198" s="2"/>
    </row>
    <row r="199">
      <c r="B199" s="2"/>
      <c r="C199" s="2"/>
    </row>
    <row r="200">
      <c r="B200" s="2"/>
      <c r="C200" s="2"/>
    </row>
    <row r="201">
      <c r="B201" s="2"/>
      <c r="C201" s="2"/>
    </row>
    <row r="202">
      <c r="B202" s="2"/>
      <c r="C202" s="2"/>
    </row>
    <row r="203">
      <c r="B203" s="2"/>
      <c r="C203" s="2"/>
    </row>
    <row r="204">
      <c r="B204" s="2"/>
      <c r="C204" s="2"/>
    </row>
    <row r="205">
      <c r="B205" s="2"/>
      <c r="C205" s="2"/>
    </row>
    <row r="206">
      <c r="B206" s="2"/>
      <c r="C206" s="2"/>
    </row>
    <row r="207">
      <c r="B207" s="2"/>
      <c r="C207" s="2"/>
    </row>
    <row r="208">
      <c r="B208" s="2"/>
      <c r="C208" s="2"/>
    </row>
    <row r="209">
      <c r="B209" s="2"/>
      <c r="C209" s="2"/>
    </row>
    <row r="210">
      <c r="B210" s="2"/>
      <c r="C210" s="2"/>
    </row>
    <row r="211">
      <c r="B211" s="2"/>
      <c r="C211" s="2"/>
    </row>
    <row r="212">
      <c r="B212" s="2"/>
      <c r="C212" s="2"/>
    </row>
    <row r="213">
      <c r="B213" s="2"/>
      <c r="C213" s="2"/>
    </row>
    <row r="214">
      <c r="B214" s="2"/>
      <c r="C214" s="2"/>
    </row>
    <row r="215">
      <c r="B215" s="2"/>
      <c r="C215" s="2"/>
    </row>
    <row r="216">
      <c r="B216" s="2"/>
      <c r="C216" s="2"/>
    </row>
    <row r="217">
      <c r="B217" s="2"/>
      <c r="C217" s="2"/>
    </row>
    <row r="218">
      <c r="B218" s="2"/>
      <c r="C218" s="2"/>
    </row>
    <row r="219">
      <c r="B219" s="2"/>
      <c r="C219" s="2"/>
    </row>
    <row r="220">
      <c r="B220" s="2"/>
      <c r="C220" s="2"/>
    </row>
    <row r="221">
      <c r="B221" s="2"/>
      <c r="C221" s="2"/>
    </row>
    <row r="222">
      <c r="B222" s="2"/>
      <c r="C222" s="2"/>
    </row>
    <row r="223">
      <c r="B223" s="2"/>
      <c r="C223" s="2"/>
    </row>
    <row r="224">
      <c r="B224" s="2"/>
      <c r="C224" s="2"/>
    </row>
    <row r="225">
      <c r="B225" s="2"/>
      <c r="C225" s="2"/>
    </row>
    <row r="226">
      <c r="B226" s="2"/>
      <c r="C226" s="2"/>
    </row>
    <row r="227">
      <c r="B227" s="2"/>
      <c r="C227" s="2"/>
    </row>
    <row r="228">
      <c r="B228" s="2"/>
      <c r="C228" s="2"/>
    </row>
    <row r="229">
      <c r="B229" s="2"/>
      <c r="C229" s="2"/>
    </row>
    <row r="230">
      <c r="B230" s="2"/>
      <c r="C230" s="2"/>
    </row>
    <row r="231">
      <c r="B231" s="2"/>
      <c r="C231" s="2"/>
    </row>
    <row r="232">
      <c r="B232" s="2"/>
      <c r="C232" s="2"/>
    </row>
    <row r="233">
      <c r="B233" s="2"/>
      <c r="C233" s="2"/>
    </row>
    <row r="234">
      <c r="B234" s="2"/>
      <c r="C234" s="2"/>
    </row>
    <row r="235">
      <c r="B235" s="2"/>
      <c r="C235" s="2"/>
    </row>
    <row r="236">
      <c r="B236" s="2"/>
      <c r="C236" s="2"/>
    </row>
    <row r="237">
      <c r="B237" s="2"/>
      <c r="C237" s="2"/>
    </row>
    <row r="238">
      <c r="B238" s="2"/>
      <c r="C238" s="2"/>
    </row>
    <row r="239">
      <c r="B239" s="2"/>
      <c r="C239" s="2"/>
    </row>
    <row r="240">
      <c r="B240" s="2"/>
      <c r="C240" s="2"/>
    </row>
    <row r="241">
      <c r="B241" s="2"/>
      <c r="C241" s="2"/>
    </row>
    <row r="242">
      <c r="B242" s="2"/>
      <c r="C242" s="2"/>
    </row>
    <row r="243">
      <c r="B243" s="2"/>
      <c r="C243" s="2"/>
    </row>
    <row r="244">
      <c r="B244" s="2"/>
      <c r="C244" s="2"/>
    </row>
    <row r="245">
      <c r="B245" s="2"/>
      <c r="C245" s="2"/>
    </row>
    <row r="246">
      <c r="B246" s="2"/>
      <c r="C246" s="2"/>
    </row>
    <row r="247">
      <c r="B247" s="2"/>
      <c r="C247" s="2"/>
    </row>
    <row r="248">
      <c r="B248" s="2"/>
      <c r="C248" s="2"/>
    </row>
    <row r="249">
      <c r="B249" s="2"/>
      <c r="C249" s="2"/>
    </row>
    <row r="250">
      <c r="B250" s="2"/>
      <c r="C250" s="2"/>
    </row>
    <row r="251">
      <c r="B251" s="2"/>
      <c r="C251" s="2"/>
    </row>
    <row r="252">
      <c r="B252" s="2"/>
      <c r="C252" s="2"/>
    </row>
    <row r="253">
      <c r="B253" s="2"/>
      <c r="C253" s="2"/>
    </row>
    <row r="254">
      <c r="B254" s="2"/>
      <c r="C254" s="2"/>
    </row>
    <row r="255">
      <c r="B255" s="2"/>
      <c r="C255" s="2"/>
    </row>
    <row r="256">
      <c r="B256" s="2"/>
      <c r="C256" s="2"/>
    </row>
    <row r="257">
      <c r="B257" s="2"/>
      <c r="C257" s="2"/>
    </row>
    <row r="258">
      <c r="B258" s="2"/>
      <c r="C258" s="2"/>
    </row>
    <row r="259">
      <c r="B259" s="2"/>
      <c r="C259" s="2"/>
    </row>
    <row r="260">
      <c r="B260" s="2"/>
      <c r="C260" s="2"/>
    </row>
    <row r="261">
      <c r="B261" s="2"/>
      <c r="C261" s="2"/>
    </row>
    <row r="262">
      <c r="B262" s="2"/>
      <c r="C262" s="2"/>
    </row>
    <row r="263">
      <c r="B263" s="2"/>
      <c r="C263" s="2"/>
    </row>
    <row r="264">
      <c r="B264" s="2"/>
      <c r="C264" s="2"/>
    </row>
    <row r="265">
      <c r="B265" s="2"/>
      <c r="C265" s="2"/>
    </row>
    <row r="266">
      <c r="B266" s="2"/>
      <c r="C266" s="2"/>
    </row>
    <row r="267">
      <c r="B267" s="2"/>
      <c r="C267" s="2"/>
    </row>
    <row r="268">
      <c r="B268" s="2"/>
      <c r="C268" s="2"/>
    </row>
    <row r="269">
      <c r="B269" s="2"/>
      <c r="C269" s="2"/>
    </row>
    <row r="270">
      <c r="B270" s="2"/>
      <c r="C270" s="2"/>
    </row>
    <row r="271">
      <c r="B271" s="2"/>
      <c r="C271" s="2"/>
    </row>
    <row r="272">
      <c r="B272" s="2"/>
      <c r="C272" s="2"/>
    </row>
    <row r="273">
      <c r="B273" s="2"/>
      <c r="C273" s="2"/>
    </row>
    <row r="274">
      <c r="B274" s="2"/>
      <c r="C274" s="2"/>
    </row>
    <row r="275">
      <c r="B275" s="2"/>
      <c r="C275" s="2"/>
    </row>
    <row r="276">
      <c r="B276" s="2"/>
      <c r="C276" s="2"/>
    </row>
    <row r="277">
      <c r="B277" s="2"/>
      <c r="C277" s="2"/>
    </row>
    <row r="278">
      <c r="B278" s="2"/>
      <c r="C278" s="2"/>
    </row>
    <row r="279">
      <c r="B279" s="2"/>
      <c r="C279" s="2"/>
    </row>
    <row r="280">
      <c r="B280" s="2"/>
      <c r="C280" s="2"/>
    </row>
    <row r="281">
      <c r="B281" s="2"/>
      <c r="C281" s="2"/>
    </row>
    <row r="282">
      <c r="B282" s="2"/>
      <c r="C282" s="2"/>
    </row>
    <row r="283">
      <c r="B283" s="2"/>
      <c r="C283" s="2"/>
    </row>
    <row r="284">
      <c r="B284" s="2"/>
      <c r="C284" s="2"/>
    </row>
    <row r="285">
      <c r="B285" s="2"/>
      <c r="C285" s="2"/>
    </row>
    <row r="286">
      <c r="B286" s="2"/>
      <c r="C286" s="2"/>
    </row>
    <row r="287">
      <c r="B287" s="2"/>
      <c r="C287" s="2"/>
    </row>
    <row r="288">
      <c r="B288" s="2"/>
      <c r="C288" s="2"/>
    </row>
    <row r="289">
      <c r="B289" s="2"/>
      <c r="C289" s="2"/>
    </row>
    <row r="290">
      <c r="B290" s="2"/>
      <c r="C290" s="2"/>
    </row>
    <row r="291">
      <c r="B291" s="2"/>
      <c r="C291" s="2"/>
    </row>
    <row r="292">
      <c r="B292" s="2"/>
      <c r="C292" s="2"/>
    </row>
    <row r="293">
      <c r="B293" s="2"/>
      <c r="C293" s="2"/>
    </row>
    <row r="294">
      <c r="B294" s="2"/>
      <c r="C294" s="2"/>
    </row>
    <row r="295">
      <c r="B295" s="2"/>
      <c r="C295" s="2"/>
    </row>
    <row r="296">
      <c r="B296" s="2"/>
      <c r="C296" s="2"/>
    </row>
    <row r="297">
      <c r="B297" s="2"/>
      <c r="C297" s="2"/>
    </row>
    <row r="298">
      <c r="B298" s="2"/>
      <c r="C298" s="2"/>
    </row>
    <row r="299">
      <c r="B299" s="2"/>
      <c r="C299" s="2"/>
    </row>
    <row r="300">
      <c r="B300" s="2"/>
      <c r="C300" s="2"/>
    </row>
    <row r="301">
      <c r="B301" s="2"/>
      <c r="C301" s="2"/>
    </row>
    <row r="302">
      <c r="B302" s="2"/>
      <c r="C302" s="2"/>
    </row>
    <row r="303">
      <c r="B303" s="2"/>
      <c r="C303" s="2"/>
    </row>
    <row r="304">
      <c r="B304" s="2"/>
      <c r="C304" s="2"/>
    </row>
    <row r="305">
      <c r="B305" s="2"/>
      <c r="C305" s="2"/>
    </row>
    <row r="306">
      <c r="B306" s="2"/>
      <c r="C306" s="2"/>
    </row>
    <row r="307">
      <c r="B307" s="2"/>
      <c r="C307" s="2"/>
    </row>
    <row r="308">
      <c r="B308" s="2"/>
      <c r="C308" s="2"/>
    </row>
    <row r="309">
      <c r="B309" s="2"/>
      <c r="C309" s="2"/>
    </row>
    <row r="310">
      <c r="B310" s="2"/>
      <c r="C310" s="2"/>
    </row>
    <row r="311">
      <c r="B311" s="2"/>
      <c r="C311" s="2"/>
    </row>
    <row r="312">
      <c r="B312" s="2"/>
      <c r="C312" s="2"/>
    </row>
    <row r="313">
      <c r="B313" s="2"/>
      <c r="C313" s="2"/>
    </row>
    <row r="314">
      <c r="B314" s="2"/>
      <c r="C314" s="2"/>
    </row>
    <row r="315">
      <c r="B315" s="2"/>
      <c r="C315" s="2"/>
    </row>
    <row r="316">
      <c r="B316" s="2"/>
      <c r="C316" s="2"/>
    </row>
    <row r="317">
      <c r="B317" s="2"/>
      <c r="C317" s="2"/>
    </row>
    <row r="318">
      <c r="B318" s="2"/>
      <c r="C318" s="2"/>
    </row>
    <row r="319">
      <c r="B319" s="2"/>
      <c r="C319" s="2"/>
    </row>
    <row r="320">
      <c r="B320" s="2"/>
      <c r="C320" s="2"/>
    </row>
    <row r="321">
      <c r="B321" s="2"/>
      <c r="C321" s="2"/>
    </row>
    <row r="322">
      <c r="B322" s="2"/>
      <c r="C322" s="2"/>
    </row>
    <row r="323">
      <c r="B323" s="2"/>
      <c r="C323" s="2"/>
    </row>
    <row r="324">
      <c r="B324" s="2"/>
      <c r="C324" s="2"/>
    </row>
    <row r="325">
      <c r="B325" s="2"/>
      <c r="C325" s="2"/>
    </row>
    <row r="326">
      <c r="B326" s="2"/>
      <c r="C326" s="2"/>
    </row>
    <row r="327">
      <c r="B327" s="2"/>
      <c r="C327" s="2"/>
    </row>
    <row r="328">
      <c r="B328" s="2"/>
      <c r="C328" s="2"/>
    </row>
    <row r="329">
      <c r="B329" s="2"/>
      <c r="C329" s="2"/>
    </row>
    <row r="330">
      <c r="B330" s="2"/>
      <c r="C330" s="2"/>
    </row>
    <row r="331">
      <c r="B331" s="2"/>
      <c r="C331" s="2"/>
    </row>
    <row r="332">
      <c r="B332" s="2"/>
      <c r="C332" s="2"/>
    </row>
    <row r="333">
      <c r="B333" s="2"/>
      <c r="C333" s="2"/>
    </row>
    <row r="334">
      <c r="B334" s="2"/>
      <c r="C334" s="2"/>
    </row>
    <row r="335">
      <c r="B335" s="2"/>
      <c r="C335" s="2"/>
    </row>
    <row r="336">
      <c r="B336" s="2"/>
      <c r="C336" s="2"/>
    </row>
    <row r="337">
      <c r="B337" s="2"/>
      <c r="C337" s="2"/>
    </row>
    <row r="338">
      <c r="B338" s="2"/>
      <c r="C338" s="2"/>
    </row>
    <row r="339">
      <c r="B339" s="2"/>
      <c r="C339" s="2"/>
    </row>
    <row r="340">
      <c r="B340" s="2"/>
      <c r="C340" s="2"/>
    </row>
    <row r="341">
      <c r="B341" s="2"/>
      <c r="C341" s="2"/>
    </row>
    <row r="342">
      <c r="B342" s="2"/>
      <c r="C342" s="2"/>
    </row>
    <row r="343">
      <c r="B343" s="2"/>
      <c r="C343" s="2"/>
    </row>
    <row r="344">
      <c r="B344" s="2"/>
      <c r="C344" s="2"/>
    </row>
    <row r="345">
      <c r="B345" s="2"/>
      <c r="C345" s="2"/>
    </row>
    <row r="346">
      <c r="B346" s="2"/>
      <c r="C346" s="2"/>
    </row>
    <row r="347">
      <c r="B347" s="2"/>
      <c r="C347" s="2"/>
    </row>
    <row r="348">
      <c r="B348" s="2"/>
      <c r="C348" s="2"/>
    </row>
    <row r="349">
      <c r="B349" s="2"/>
      <c r="C349" s="2"/>
    </row>
    <row r="350">
      <c r="B350" s="2"/>
      <c r="C350" s="2"/>
    </row>
    <row r="351">
      <c r="B351" s="2"/>
      <c r="C351" s="2"/>
    </row>
    <row r="352">
      <c r="B352" s="2"/>
      <c r="C352" s="2"/>
    </row>
    <row r="353">
      <c r="B353" s="2"/>
      <c r="C353" s="2"/>
    </row>
    <row r="354">
      <c r="B354" s="2"/>
      <c r="C354" s="2"/>
    </row>
    <row r="355">
      <c r="B355" s="2"/>
      <c r="C355" s="2"/>
    </row>
    <row r="356">
      <c r="B356" s="2"/>
      <c r="C356" s="2"/>
    </row>
    <row r="357">
      <c r="B357" s="2"/>
      <c r="C357" s="2"/>
    </row>
    <row r="358">
      <c r="B358" s="2"/>
      <c r="C358" s="2"/>
    </row>
    <row r="359">
      <c r="B359" s="2"/>
      <c r="C359" s="2"/>
    </row>
    <row r="360">
      <c r="B360" s="2"/>
      <c r="C360" s="2"/>
    </row>
    <row r="361">
      <c r="B361" s="2"/>
      <c r="C361" s="2"/>
    </row>
    <row r="362">
      <c r="B362" s="2"/>
      <c r="C362" s="2"/>
    </row>
    <row r="363">
      <c r="B363" s="2"/>
      <c r="C363" s="2"/>
    </row>
    <row r="364">
      <c r="B364" s="2"/>
      <c r="C364" s="2"/>
    </row>
    <row r="365">
      <c r="B365" s="2"/>
      <c r="C365" s="2"/>
    </row>
    <row r="366">
      <c r="B366" s="2"/>
      <c r="C366" s="2"/>
    </row>
    <row r="367">
      <c r="B367" s="2"/>
      <c r="C367" s="2"/>
    </row>
    <row r="368">
      <c r="B368" s="2"/>
      <c r="C368" s="2"/>
    </row>
    <row r="369">
      <c r="B369" s="2"/>
      <c r="C369" s="2"/>
    </row>
    <row r="370">
      <c r="B370" s="2"/>
      <c r="C370" s="2"/>
    </row>
    <row r="371">
      <c r="B371" s="2"/>
      <c r="C371" s="2"/>
    </row>
    <row r="372">
      <c r="B372" s="2"/>
      <c r="C372" s="2"/>
    </row>
    <row r="373">
      <c r="B373" s="2"/>
      <c r="C373" s="2"/>
    </row>
    <row r="374">
      <c r="B374" s="2"/>
      <c r="C374" s="2"/>
    </row>
    <row r="375">
      <c r="B375" s="2"/>
      <c r="C375" s="2"/>
    </row>
    <row r="376">
      <c r="B376" s="2"/>
      <c r="C376" s="2"/>
    </row>
    <row r="377">
      <c r="B377" s="2"/>
      <c r="C377" s="2"/>
    </row>
    <row r="378">
      <c r="B378" s="2"/>
      <c r="C378" s="2"/>
    </row>
    <row r="379">
      <c r="B379" s="2"/>
      <c r="C379" s="2"/>
    </row>
    <row r="380">
      <c r="B380" s="2"/>
      <c r="C380" s="2"/>
    </row>
    <row r="381">
      <c r="B381" s="2"/>
      <c r="C381" s="2"/>
    </row>
    <row r="382">
      <c r="B382" s="2"/>
      <c r="C382" s="2"/>
    </row>
    <row r="383">
      <c r="B383" s="2"/>
      <c r="C383" s="2"/>
    </row>
    <row r="384">
      <c r="B384" s="2"/>
      <c r="C384" s="2"/>
    </row>
    <row r="385">
      <c r="B385" s="2"/>
      <c r="C385" s="2"/>
    </row>
    <row r="386">
      <c r="B386" s="2"/>
      <c r="C386" s="2"/>
    </row>
    <row r="387">
      <c r="B387" s="2"/>
      <c r="C387" s="2"/>
    </row>
    <row r="388">
      <c r="B388" s="2"/>
      <c r="C388" s="2"/>
    </row>
    <row r="389">
      <c r="B389" s="2"/>
      <c r="C389" s="2"/>
    </row>
    <row r="390">
      <c r="B390" s="2"/>
      <c r="C390" s="2"/>
    </row>
    <row r="391">
      <c r="B391" s="2"/>
      <c r="C391" s="2"/>
    </row>
    <row r="392">
      <c r="B392" s="2"/>
      <c r="C392" s="2"/>
    </row>
    <row r="393">
      <c r="B393" s="2"/>
      <c r="C393" s="2"/>
    </row>
    <row r="394">
      <c r="B394" s="2"/>
      <c r="C394" s="2"/>
    </row>
    <row r="395">
      <c r="B395" s="2"/>
      <c r="C395" s="2"/>
    </row>
    <row r="396">
      <c r="B396" s="2"/>
      <c r="C396" s="2"/>
    </row>
    <row r="397">
      <c r="B397" s="2"/>
      <c r="C397" s="2"/>
    </row>
    <row r="398">
      <c r="B398" s="2"/>
      <c r="C398" s="2"/>
    </row>
    <row r="399">
      <c r="B399" s="2"/>
      <c r="C399" s="2"/>
    </row>
    <row r="400">
      <c r="B400" s="2"/>
      <c r="C400" s="2"/>
    </row>
    <row r="401">
      <c r="B401" s="2"/>
      <c r="C401" s="2"/>
    </row>
    <row r="402">
      <c r="B402" s="2"/>
      <c r="C402" s="2"/>
    </row>
    <row r="403">
      <c r="B403" s="2"/>
      <c r="C403" s="2"/>
    </row>
    <row r="404">
      <c r="B404" s="2"/>
      <c r="C404" s="2"/>
    </row>
    <row r="405">
      <c r="B405" s="2"/>
      <c r="C405" s="2"/>
    </row>
    <row r="406">
      <c r="B406" s="2"/>
      <c r="C406" s="2"/>
    </row>
    <row r="407">
      <c r="B407" s="2"/>
      <c r="C407" s="2"/>
    </row>
    <row r="408">
      <c r="B408" s="2"/>
      <c r="C408" s="2"/>
    </row>
    <row r="409">
      <c r="B409" s="2"/>
      <c r="C409" s="2"/>
    </row>
    <row r="410">
      <c r="B410" s="2"/>
      <c r="C410" s="2"/>
    </row>
    <row r="411">
      <c r="B411" s="2"/>
      <c r="C411" s="2"/>
    </row>
    <row r="412">
      <c r="B412" s="2"/>
      <c r="C412" s="2"/>
    </row>
    <row r="413">
      <c r="B413" s="2"/>
      <c r="C413" s="2"/>
    </row>
    <row r="414">
      <c r="B414" s="2"/>
      <c r="C414" s="2"/>
    </row>
    <row r="415">
      <c r="B415" s="2"/>
      <c r="C415" s="2"/>
    </row>
    <row r="416">
      <c r="B416" s="2"/>
      <c r="C416" s="2"/>
    </row>
    <row r="417">
      <c r="B417" s="2"/>
      <c r="C417" s="2"/>
    </row>
    <row r="418">
      <c r="B418" s="2"/>
      <c r="C418" s="2"/>
    </row>
    <row r="419">
      <c r="B419" s="2"/>
      <c r="C419" s="2"/>
    </row>
    <row r="420">
      <c r="B420" s="2"/>
      <c r="C420" s="2"/>
    </row>
    <row r="421">
      <c r="B421" s="2"/>
      <c r="C421" s="2"/>
    </row>
    <row r="422">
      <c r="B422" s="2"/>
      <c r="C422" s="2"/>
    </row>
    <row r="423">
      <c r="B423" s="2"/>
      <c r="C423" s="2"/>
    </row>
    <row r="424">
      <c r="B424" s="2"/>
      <c r="C424" s="2"/>
    </row>
    <row r="425">
      <c r="B425" s="2"/>
      <c r="C425" s="2"/>
    </row>
    <row r="426">
      <c r="B426" s="2"/>
      <c r="C426" s="2"/>
    </row>
    <row r="427">
      <c r="B427" s="2"/>
      <c r="C427" s="2"/>
    </row>
    <row r="428">
      <c r="B428" s="2"/>
      <c r="C428" s="2"/>
    </row>
    <row r="429">
      <c r="B429" s="2"/>
      <c r="C429" s="2"/>
    </row>
    <row r="430">
      <c r="B430" s="2"/>
      <c r="C430" s="2"/>
    </row>
    <row r="431">
      <c r="B431" s="2"/>
      <c r="C431" s="2"/>
    </row>
    <row r="432">
      <c r="B432" s="2"/>
      <c r="C432" s="2"/>
    </row>
    <row r="433">
      <c r="B433" s="2"/>
      <c r="C433" s="2"/>
    </row>
    <row r="434">
      <c r="B434" s="2"/>
      <c r="C434" s="2"/>
    </row>
    <row r="435">
      <c r="B435" s="2"/>
      <c r="C435" s="2"/>
    </row>
    <row r="436">
      <c r="B436" s="2"/>
      <c r="C436" s="2"/>
    </row>
    <row r="437">
      <c r="B437" s="2"/>
      <c r="C437" s="2"/>
    </row>
    <row r="438">
      <c r="B438" s="2"/>
      <c r="C438" s="2"/>
    </row>
    <row r="439">
      <c r="B439" s="2"/>
      <c r="C439" s="2"/>
    </row>
    <row r="440">
      <c r="B440" s="2"/>
      <c r="C440" s="2"/>
    </row>
    <row r="441">
      <c r="B441" s="2"/>
      <c r="C441" s="2"/>
    </row>
    <row r="442">
      <c r="B442" s="2"/>
      <c r="C442" s="2"/>
    </row>
    <row r="443">
      <c r="B443" s="2"/>
      <c r="C443" s="2"/>
    </row>
    <row r="444">
      <c r="B444" s="2"/>
      <c r="C444" s="2"/>
    </row>
    <row r="445">
      <c r="B445" s="2"/>
      <c r="C445" s="2"/>
    </row>
    <row r="446">
      <c r="B446" s="2"/>
      <c r="C446" s="2"/>
    </row>
    <row r="447">
      <c r="B447" s="2"/>
      <c r="C447" s="2"/>
    </row>
    <row r="448">
      <c r="B448" s="2"/>
      <c r="C448" s="2"/>
    </row>
    <row r="449">
      <c r="B449" s="2"/>
      <c r="C449" s="2"/>
    </row>
    <row r="450">
      <c r="B450" s="2"/>
      <c r="C450" s="2"/>
    </row>
    <row r="451">
      <c r="B451" s="2"/>
      <c r="C451" s="2"/>
    </row>
    <row r="452">
      <c r="B452" s="2"/>
      <c r="C452" s="2"/>
    </row>
    <row r="453">
      <c r="B453" s="2"/>
      <c r="C453" s="2"/>
    </row>
    <row r="454">
      <c r="B454" s="2"/>
      <c r="C454" s="2"/>
    </row>
    <row r="455">
      <c r="B455" s="2"/>
      <c r="C455" s="2"/>
    </row>
    <row r="456">
      <c r="B456" s="2"/>
      <c r="C456" s="2"/>
    </row>
    <row r="457">
      <c r="B457" s="2"/>
      <c r="C457" s="2"/>
    </row>
    <row r="458">
      <c r="B458" s="2"/>
      <c r="C458" s="2"/>
    </row>
    <row r="459">
      <c r="B459" s="2"/>
      <c r="C459" s="2"/>
    </row>
    <row r="460">
      <c r="B460" s="2"/>
      <c r="C460" s="2"/>
    </row>
    <row r="461">
      <c r="B461" s="2"/>
      <c r="C461" s="2"/>
    </row>
    <row r="462">
      <c r="B462" s="2"/>
      <c r="C462" s="2"/>
    </row>
    <row r="463">
      <c r="B463" s="2"/>
      <c r="C463" s="2"/>
    </row>
    <row r="464">
      <c r="B464" s="2"/>
      <c r="C464" s="2"/>
    </row>
    <row r="465">
      <c r="B465" s="2"/>
      <c r="C465" s="2"/>
    </row>
    <row r="466">
      <c r="B466" s="2"/>
      <c r="C466" s="2"/>
    </row>
    <row r="467">
      <c r="B467" s="2"/>
      <c r="C467" s="2"/>
    </row>
    <row r="468">
      <c r="B468" s="2"/>
      <c r="C468" s="2"/>
    </row>
    <row r="469">
      <c r="B469" s="2"/>
      <c r="C469" s="2"/>
    </row>
    <row r="470">
      <c r="B470" s="2"/>
      <c r="C470" s="2"/>
    </row>
    <row r="471">
      <c r="B471" s="2"/>
      <c r="C471" s="2"/>
    </row>
    <row r="472">
      <c r="B472" s="2"/>
      <c r="C472" s="2"/>
    </row>
    <row r="473">
      <c r="B473" s="2"/>
      <c r="C473" s="2"/>
    </row>
    <row r="474">
      <c r="B474" s="2"/>
      <c r="C474" s="2"/>
    </row>
    <row r="475">
      <c r="B475" s="2"/>
      <c r="C475" s="2"/>
    </row>
    <row r="476">
      <c r="B476" s="2"/>
      <c r="C476" s="2"/>
    </row>
    <row r="477">
      <c r="B477" s="2"/>
      <c r="C477" s="2"/>
    </row>
    <row r="478">
      <c r="B478" s="2"/>
      <c r="C478" s="2"/>
    </row>
    <row r="479">
      <c r="B479" s="2"/>
      <c r="C479" s="2"/>
    </row>
    <row r="480">
      <c r="B480" s="2"/>
      <c r="C480" s="2"/>
    </row>
    <row r="481">
      <c r="B481" s="2"/>
      <c r="C481" s="2"/>
    </row>
    <row r="482">
      <c r="B482" s="2"/>
      <c r="C482" s="2"/>
    </row>
    <row r="483">
      <c r="B483" s="2"/>
      <c r="C483" s="2"/>
    </row>
    <row r="484">
      <c r="B484" s="2"/>
      <c r="C484" s="2"/>
    </row>
    <row r="485">
      <c r="B485" s="2"/>
      <c r="C485" s="2"/>
    </row>
    <row r="486">
      <c r="B486" s="2"/>
      <c r="C486" s="2"/>
    </row>
    <row r="487">
      <c r="B487" s="2"/>
      <c r="C487" s="2"/>
    </row>
    <row r="488">
      <c r="B488" s="2"/>
      <c r="C488" s="2"/>
    </row>
    <row r="489">
      <c r="B489" s="2"/>
      <c r="C489" s="2"/>
    </row>
    <row r="490">
      <c r="B490" s="2"/>
      <c r="C490" s="2"/>
    </row>
    <row r="491">
      <c r="B491" s="2"/>
      <c r="C491" s="2"/>
    </row>
    <row r="492">
      <c r="B492" s="2"/>
      <c r="C492" s="2"/>
    </row>
    <row r="493">
      <c r="B493" s="2"/>
      <c r="C493" s="2"/>
    </row>
    <row r="494">
      <c r="B494" s="2"/>
      <c r="C494" s="2"/>
    </row>
    <row r="495">
      <c r="B495" s="2"/>
      <c r="C495" s="2"/>
    </row>
    <row r="496">
      <c r="B496" s="2"/>
      <c r="C496" s="2"/>
    </row>
    <row r="497">
      <c r="B497" s="2"/>
      <c r="C497" s="2"/>
    </row>
    <row r="498">
      <c r="B498" s="2"/>
      <c r="C498" s="2"/>
    </row>
    <row r="499">
      <c r="B499" s="2"/>
      <c r="C499" s="2"/>
    </row>
    <row r="500">
      <c r="B500" s="2"/>
      <c r="C500" s="2"/>
    </row>
    <row r="501">
      <c r="B501" s="2"/>
      <c r="C501" s="2"/>
    </row>
    <row r="502">
      <c r="B502" s="2"/>
      <c r="C502" s="2"/>
    </row>
    <row r="503">
      <c r="B503" s="2"/>
      <c r="C503" s="2"/>
    </row>
    <row r="504">
      <c r="B504" s="2"/>
      <c r="C504" s="2"/>
    </row>
    <row r="505">
      <c r="B505" s="2"/>
      <c r="C505" s="2"/>
    </row>
    <row r="506">
      <c r="B506" s="2"/>
      <c r="C506" s="2"/>
    </row>
    <row r="507">
      <c r="B507" s="2"/>
      <c r="C507" s="2"/>
    </row>
    <row r="508">
      <c r="B508" s="2"/>
      <c r="C508" s="2"/>
    </row>
    <row r="509">
      <c r="B509" s="2"/>
      <c r="C509" s="2"/>
    </row>
    <row r="510">
      <c r="B510" s="2"/>
      <c r="C510" s="2"/>
    </row>
    <row r="511">
      <c r="B511" s="2"/>
      <c r="C511" s="2"/>
    </row>
    <row r="512">
      <c r="B512" s="2"/>
      <c r="C512" s="2"/>
    </row>
    <row r="513">
      <c r="B513" s="2"/>
      <c r="C513" s="2"/>
    </row>
    <row r="514">
      <c r="B514" s="2"/>
      <c r="C514" s="2"/>
    </row>
    <row r="515">
      <c r="B515" s="2"/>
      <c r="C515" s="2"/>
    </row>
    <row r="516">
      <c r="B516" s="2"/>
      <c r="C516" s="2"/>
    </row>
    <row r="517">
      <c r="B517" s="2"/>
      <c r="C517" s="2"/>
    </row>
    <row r="518">
      <c r="B518" s="2"/>
      <c r="C518" s="2"/>
    </row>
    <row r="519">
      <c r="B519" s="2"/>
      <c r="C519" s="2"/>
    </row>
    <row r="520">
      <c r="B520" s="2"/>
      <c r="C520" s="2"/>
    </row>
    <row r="521">
      <c r="B521" s="2"/>
      <c r="C521" s="2"/>
    </row>
    <row r="522">
      <c r="B522" s="2"/>
      <c r="C522" s="2"/>
    </row>
    <row r="523">
      <c r="B523" s="2"/>
      <c r="C523" s="2"/>
    </row>
    <row r="524">
      <c r="B524" s="2"/>
      <c r="C524" s="2"/>
    </row>
    <row r="525">
      <c r="B525" s="2"/>
      <c r="C525" s="2"/>
    </row>
    <row r="526">
      <c r="B526" s="2"/>
      <c r="C526" s="2"/>
    </row>
    <row r="527">
      <c r="B527" s="2"/>
      <c r="C527" s="2"/>
    </row>
    <row r="528">
      <c r="B528" s="2"/>
      <c r="C528" s="2"/>
    </row>
    <row r="529">
      <c r="B529" s="2"/>
      <c r="C529" s="2"/>
    </row>
    <row r="530">
      <c r="B530" s="2"/>
      <c r="C530" s="2"/>
    </row>
    <row r="531">
      <c r="B531" s="2"/>
      <c r="C531" s="2"/>
    </row>
    <row r="532">
      <c r="B532" s="2"/>
      <c r="C532" s="2"/>
    </row>
    <row r="533">
      <c r="B533" s="2"/>
      <c r="C533" s="2"/>
    </row>
    <row r="534">
      <c r="B534" s="2"/>
      <c r="C534" s="2"/>
    </row>
    <row r="535">
      <c r="B535" s="2"/>
      <c r="C535" s="2"/>
    </row>
    <row r="536">
      <c r="B536" s="2"/>
      <c r="C536" s="2"/>
    </row>
    <row r="537">
      <c r="B537" s="2"/>
      <c r="C537" s="2"/>
    </row>
    <row r="538">
      <c r="B538" s="2"/>
      <c r="C538" s="2"/>
    </row>
    <row r="539">
      <c r="B539" s="2"/>
      <c r="C539" s="2"/>
    </row>
    <row r="540">
      <c r="B540" s="2"/>
      <c r="C540" s="2"/>
    </row>
    <row r="541">
      <c r="B541" s="2"/>
      <c r="C541" s="2"/>
    </row>
    <row r="542">
      <c r="B542" s="2"/>
      <c r="C542" s="2"/>
    </row>
    <row r="543">
      <c r="B543" s="2"/>
      <c r="C543" s="2"/>
    </row>
    <row r="544">
      <c r="B544" s="2"/>
      <c r="C544" s="2"/>
    </row>
    <row r="545">
      <c r="B545" s="2"/>
      <c r="C545" s="2"/>
    </row>
    <row r="546">
      <c r="B546" s="2"/>
      <c r="C546" s="2"/>
    </row>
    <row r="547">
      <c r="B547" s="2"/>
      <c r="C547" s="2"/>
    </row>
    <row r="548">
      <c r="B548" s="2"/>
      <c r="C548" s="2"/>
    </row>
    <row r="549">
      <c r="B549" s="2"/>
      <c r="C549" s="2"/>
    </row>
    <row r="550">
      <c r="B550" s="2"/>
      <c r="C550" s="2"/>
    </row>
    <row r="551">
      <c r="B551" s="2"/>
      <c r="C551" s="2"/>
    </row>
    <row r="552">
      <c r="B552" s="2"/>
      <c r="C552" s="2"/>
    </row>
    <row r="553">
      <c r="B553" s="2"/>
      <c r="C553" s="2"/>
    </row>
    <row r="554">
      <c r="B554" s="2"/>
      <c r="C554" s="2"/>
    </row>
    <row r="555">
      <c r="B555" s="2"/>
      <c r="C555" s="2"/>
    </row>
    <row r="556">
      <c r="B556" s="2"/>
      <c r="C556" s="2"/>
    </row>
    <row r="557">
      <c r="B557" s="2"/>
      <c r="C557" s="2"/>
    </row>
    <row r="558">
      <c r="B558" s="2"/>
      <c r="C558" s="2"/>
    </row>
    <row r="559">
      <c r="B559" s="2"/>
      <c r="C559" s="2"/>
    </row>
    <row r="560">
      <c r="B560" s="2"/>
      <c r="C560" s="2"/>
    </row>
    <row r="561">
      <c r="B561" s="2"/>
      <c r="C561" s="2"/>
    </row>
    <row r="562">
      <c r="B562" s="2"/>
      <c r="C562" s="2"/>
    </row>
    <row r="563">
      <c r="B563" s="2"/>
      <c r="C563" s="2"/>
    </row>
    <row r="564">
      <c r="B564" s="2"/>
      <c r="C564" s="2"/>
    </row>
    <row r="565">
      <c r="B565" s="2"/>
      <c r="C565" s="2"/>
    </row>
    <row r="566">
      <c r="B566" s="2"/>
      <c r="C566" s="2"/>
    </row>
    <row r="567">
      <c r="B567" s="2"/>
      <c r="C567" s="2"/>
    </row>
    <row r="568">
      <c r="B568" s="2"/>
      <c r="C568" s="2"/>
    </row>
    <row r="569">
      <c r="B569" s="2"/>
      <c r="C569" s="2"/>
    </row>
    <row r="570">
      <c r="B570" s="2"/>
      <c r="C570" s="2"/>
    </row>
    <row r="571">
      <c r="B571" s="2"/>
      <c r="C571" s="2"/>
    </row>
    <row r="572">
      <c r="B572" s="2"/>
      <c r="C572" s="2"/>
    </row>
    <row r="573">
      <c r="B573" s="2"/>
      <c r="C573" s="2"/>
    </row>
    <row r="574">
      <c r="B574" s="2"/>
      <c r="C574" s="2"/>
    </row>
    <row r="575">
      <c r="B575" s="2"/>
      <c r="C575" s="2"/>
    </row>
    <row r="576">
      <c r="B576" s="2"/>
      <c r="C576" s="2"/>
    </row>
    <row r="577">
      <c r="B577" s="2"/>
      <c r="C577" s="2"/>
    </row>
    <row r="578">
      <c r="B578" s="2"/>
      <c r="C578" s="2"/>
    </row>
    <row r="579">
      <c r="B579" s="2"/>
      <c r="C579" s="2"/>
    </row>
    <row r="580">
      <c r="B580" s="2"/>
      <c r="C580" s="2"/>
    </row>
    <row r="581">
      <c r="B581" s="2"/>
      <c r="C581" s="2"/>
    </row>
    <row r="582">
      <c r="B582" s="2"/>
      <c r="C582" s="2"/>
    </row>
    <row r="583">
      <c r="B583" s="2"/>
      <c r="C583" s="2"/>
    </row>
    <row r="584">
      <c r="B584" s="2"/>
      <c r="C584" s="2"/>
    </row>
    <row r="585">
      <c r="B585" s="2"/>
      <c r="C585" s="2"/>
    </row>
    <row r="586">
      <c r="B586" s="2"/>
      <c r="C586" s="2"/>
    </row>
    <row r="587">
      <c r="B587" s="2"/>
      <c r="C587" s="2"/>
    </row>
    <row r="588">
      <c r="B588" s="2"/>
      <c r="C588" s="2"/>
    </row>
    <row r="589">
      <c r="B589" s="2"/>
      <c r="C589" s="2"/>
    </row>
    <row r="590">
      <c r="B590" s="2"/>
      <c r="C590" s="2"/>
    </row>
    <row r="591">
      <c r="B591" s="2"/>
      <c r="C591" s="2"/>
    </row>
    <row r="592">
      <c r="B592" s="2"/>
      <c r="C592" s="2"/>
    </row>
    <row r="593">
      <c r="B593" s="2"/>
      <c r="C593" s="2"/>
    </row>
    <row r="594">
      <c r="B594" s="2"/>
      <c r="C594" s="2"/>
    </row>
    <row r="595">
      <c r="B595" s="2"/>
      <c r="C595" s="2"/>
    </row>
    <row r="596">
      <c r="B596" s="2"/>
      <c r="C596" s="2"/>
    </row>
    <row r="597">
      <c r="B597" s="2"/>
      <c r="C597" s="2"/>
    </row>
    <row r="598">
      <c r="B598" s="2"/>
      <c r="C598" s="2"/>
    </row>
    <row r="599">
      <c r="B599" s="2"/>
      <c r="C599" s="2"/>
    </row>
    <row r="600">
      <c r="B600" s="2"/>
      <c r="C600" s="2"/>
    </row>
    <row r="601">
      <c r="B601" s="2"/>
      <c r="C601" s="2"/>
    </row>
    <row r="602">
      <c r="B602" s="2"/>
      <c r="C602" s="2"/>
    </row>
    <row r="603">
      <c r="B603" s="2"/>
      <c r="C603" s="2"/>
    </row>
    <row r="604">
      <c r="B604" s="2"/>
      <c r="C604" s="2"/>
    </row>
    <row r="605">
      <c r="B605" s="2"/>
      <c r="C605" s="2"/>
    </row>
    <row r="606">
      <c r="B606" s="2"/>
      <c r="C606" s="2"/>
    </row>
    <row r="607">
      <c r="B607" s="2"/>
      <c r="C607" s="2"/>
    </row>
    <row r="608">
      <c r="B608" s="2"/>
      <c r="C608" s="2"/>
    </row>
    <row r="609">
      <c r="B609" s="2"/>
      <c r="C609" s="2"/>
    </row>
    <row r="610">
      <c r="B610" s="2"/>
      <c r="C610" s="2"/>
    </row>
    <row r="611">
      <c r="B611" s="2"/>
      <c r="C611" s="2"/>
    </row>
    <row r="612">
      <c r="B612" s="2"/>
      <c r="C612" s="2"/>
    </row>
    <row r="613">
      <c r="B613" s="2"/>
      <c r="C613" s="2"/>
    </row>
    <row r="614">
      <c r="B614" s="2"/>
      <c r="C614" s="2"/>
    </row>
    <row r="615">
      <c r="B615" s="2"/>
      <c r="C615" s="2"/>
    </row>
    <row r="616">
      <c r="B616" s="2"/>
      <c r="C616" s="2"/>
    </row>
    <row r="617">
      <c r="B617" s="2"/>
      <c r="C617" s="2"/>
    </row>
    <row r="618">
      <c r="B618" s="2"/>
      <c r="C618" s="2"/>
    </row>
    <row r="619">
      <c r="B619" s="2"/>
      <c r="C619" s="2"/>
    </row>
    <row r="620">
      <c r="B620" s="2"/>
      <c r="C620" s="2"/>
    </row>
    <row r="621">
      <c r="B621" s="2"/>
      <c r="C621" s="2"/>
    </row>
    <row r="622">
      <c r="B622" s="2"/>
      <c r="C622" s="2"/>
    </row>
    <row r="623">
      <c r="B623" s="2"/>
      <c r="C623" s="2"/>
    </row>
    <row r="624">
      <c r="B624" s="2"/>
      <c r="C624" s="2"/>
    </row>
    <row r="625">
      <c r="B625" s="2"/>
      <c r="C625" s="2"/>
    </row>
    <row r="626">
      <c r="B626" s="2"/>
      <c r="C626" s="2"/>
    </row>
    <row r="627">
      <c r="B627" s="2"/>
      <c r="C627" s="2"/>
    </row>
    <row r="628">
      <c r="B628" s="2"/>
      <c r="C628" s="2"/>
    </row>
    <row r="629">
      <c r="B629" s="2"/>
      <c r="C629" s="2"/>
    </row>
    <row r="630">
      <c r="B630" s="2"/>
      <c r="C630" s="2"/>
    </row>
    <row r="631">
      <c r="B631" s="2"/>
      <c r="C631" s="2"/>
    </row>
    <row r="632">
      <c r="B632" s="2"/>
      <c r="C632" s="2"/>
    </row>
    <row r="633">
      <c r="B633" s="2"/>
      <c r="C633" s="2"/>
    </row>
    <row r="634">
      <c r="B634" s="2"/>
      <c r="C634" s="2"/>
    </row>
    <row r="635">
      <c r="B635" s="2"/>
      <c r="C635" s="2"/>
    </row>
    <row r="636">
      <c r="B636" s="2"/>
      <c r="C636" s="2"/>
    </row>
    <row r="637">
      <c r="B637" s="2"/>
      <c r="C637" s="2"/>
    </row>
    <row r="638">
      <c r="B638" s="2"/>
      <c r="C638" s="2"/>
    </row>
    <row r="639">
      <c r="B639" s="2"/>
      <c r="C639" s="2"/>
    </row>
    <row r="640">
      <c r="B640" s="2"/>
      <c r="C640" s="2"/>
    </row>
    <row r="641">
      <c r="B641" s="2"/>
      <c r="C641" s="2"/>
    </row>
    <row r="642">
      <c r="B642" s="2"/>
      <c r="C642" s="2"/>
    </row>
    <row r="643">
      <c r="B643" s="2"/>
      <c r="C643" s="2"/>
    </row>
    <row r="644">
      <c r="B644" s="2"/>
      <c r="C644" s="2"/>
    </row>
    <row r="645">
      <c r="B645" s="2"/>
      <c r="C645" s="2"/>
    </row>
    <row r="646">
      <c r="B646" s="2"/>
      <c r="C646" s="2"/>
    </row>
    <row r="647">
      <c r="B647" s="2"/>
      <c r="C647" s="2"/>
    </row>
    <row r="648">
      <c r="B648" s="2"/>
      <c r="C648" s="2"/>
    </row>
    <row r="649">
      <c r="B649" s="2"/>
      <c r="C649" s="2"/>
    </row>
    <row r="650">
      <c r="B650" s="2"/>
      <c r="C650" s="2"/>
    </row>
    <row r="651">
      <c r="B651" s="2"/>
      <c r="C651" s="2"/>
    </row>
    <row r="652">
      <c r="B652" s="2"/>
      <c r="C652" s="2"/>
    </row>
    <row r="653">
      <c r="B653" s="2"/>
      <c r="C653" s="2"/>
    </row>
    <row r="654">
      <c r="B654" s="2"/>
      <c r="C654" s="2"/>
    </row>
    <row r="655">
      <c r="B655" s="2"/>
      <c r="C655" s="2"/>
    </row>
    <row r="656">
      <c r="B656" s="2"/>
      <c r="C656" s="2"/>
    </row>
    <row r="657">
      <c r="B657" s="2"/>
      <c r="C657" s="2"/>
    </row>
    <row r="658">
      <c r="B658" s="2"/>
      <c r="C658" s="2"/>
    </row>
    <row r="659">
      <c r="B659" s="2"/>
      <c r="C659" s="2"/>
    </row>
    <row r="660">
      <c r="B660" s="2"/>
      <c r="C660" s="2"/>
    </row>
    <row r="661">
      <c r="B661" s="2"/>
      <c r="C661" s="2"/>
    </row>
    <row r="662">
      <c r="B662" s="2"/>
      <c r="C662" s="2"/>
    </row>
    <row r="663">
      <c r="B663" s="2"/>
      <c r="C663" s="2"/>
    </row>
    <row r="664">
      <c r="B664" s="2"/>
      <c r="C664" s="2"/>
    </row>
    <row r="665">
      <c r="B665" s="2"/>
      <c r="C665" s="2"/>
    </row>
    <row r="666">
      <c r="B666" s="2"/>
      <c r="C666" s="2"/>
    </row>
    <row r="667">
      <c r="B667" s="2"/>
      <c r="C667" s="2"/>
    </row>
    <row r="668">
      <c r="B668" s="2"/>
      <c r="C668" s="2"/>
    </row>
    <row r="669">
      <c r="B669" s="2"/>
      <c r="C669" s="2"/>
    </row>
    <row r="670">
      <c r="B670" s="2"/>
      <c r="C670" s="2"/>
    </row>
    <row r="671">
      <c r="B671" s="2"/>
      <c r="C671" s="2"/>
    </row>
    <row r="672">
      <c r="B672" s="2"/>
      <c r="C672" s="2"/>
    </row>
    <row r="673">
      <c r="B673" s="2"/>
      <c r="C673" s="2"/>
    </row>
    <row r="674">
      <c r="B674" s="2"/>
      <c r="C674" s="2"/>
    </row>
    <row r="675">
      <c r="B675" s="2"/>
      <c r="C675" s="2"/>
    </row>
    <row r="676">
      <c r="B676" s="2"/>
      <c r="C676" s="2"/>
    </row>
    <row r="677">
      <c r="B677" s="2"/>
      <c r="C677" s="2"/>
    </row>
    <row r="678">
      <c r="B678" s="2"/>
      <c r="C678" s="2"/>
    </row>
    <row r="679">
      <c r="B679" s="2"/>
      <c r="C679" s="2"/>
    </row>
    <row r="680">
      <c r="B680" s="2"/>
      <c r="C680" s="2"/>
    </row>
    <row r="681">
      <c r="B681" s="2"/>
      <c r="C681" s="2"/>
    </row>
    <row r="682">
      <c r="B682" s="2"/>
      <c r="C682" s="2"/>
    </row>
    <row r="683">
      <c r="B683" s="2"/>
      <c r="C683" s="2"/>
    </row>
    <row r="684">
      <c r="B684" s="2"/>
      <c r="C684" s="2"/>
    </row>
    <row r="685">
      <c r="B685" s="2"/>
      <c r="C685" s="2"/>
    </row>
    <row r="686">
      <c r="B686" s="2"/>
      <c r="C686" s="2"/>
    </row>
    <row r="687">
      <c r="B687" s="2"/>
      <c r="C687" s="2"/>
    </row>
    <row r="688">
      <c r="B688" s="2"/>
      <c r="C688" s="2"/>
    </row>
    <row r="689">
      <c r="B689" s="2"/>
      <c r="C689" s="2"/>
    </row>
    <row r="690">
      <c r="B690" s="2"/>
      <c r="C690" s="2"/>
    </row>
    <row r="691">
      <c r="B691" s="2"/>
      <c r="C691" s="2"/>
    </row>
    <row r="692">
      <c r="B692" s="2"/>
      <c r="C692" s="2"/>
    </row>
    <row r="693">
      <c r="B693" s="2"/>
      <c r="C693" s="2"/>
    </row>
    <row r="694">
      <c r="B694" s="2"/>
      <c r="C694" s="2"/>
    </row>
    <row r="695">
      <c r="B695" s="2"/>
      <c r="C695" s="2"/>
    </row>
    <row r="696">
      <c r="B696" s="2"/>
      <c r="C696" s="2"/>
    </row>
    <row r="697">
      <c r="B697" s="2"/>
      <c r="C697" s="2"/>
    </row>
    <row r="698">
      <c r="B698" s="2"/>
      <c r="C698" s="2"/>
    </row>
    <row r="699">
      <c r="B699" s="2"/>
      <c r="C699" s="2"/>
    </row>
    <row r="700">
      <c r="B700" s="2"/>
      <c r="C700" s="2"/>
    </row>
    <row r="701">
      <c r="B701" s="2"/>
      <c r="C701" s="2"/>
    </row>
    <row r="702">
      <c r="B702" s="2"/>
      <c r="C702" s="2"/>
    </row>
    <row r="703">
      <c r="B703" s="2"/>
      <c r="C703" s="2"/>
    </row>
    <row r="704">
      <c r="B704" s="2"/>
      <c r="C704" s="2"/>
    </row>
    <row r="705">
      <c r="B705" s="2"/>
      <c r="C705" s="2"/>
    </row>
    <row r="706">
      <c r="B706" s="2"/>
      <c r="C706" s="2"/>
    </row>
    <row r="707">
      <c r="B707" s="2"/>
      <c r="C707" s="2"/>
    </row>
    <row r="708">
      <c r="B708" s="2"/>
      <c r="C708" s="2"/>
    </row>
    <row r="709">
      <c r="B709" s="2"/>
      <c r="C709" s="2"/>
    </row>
    <row r="710">
      <c r="B710" s="2"/>
      <c r="C710" s="2"/>
    </row>
    <row r="711">
      <c r="B711" s="2"/>
      <c r="C711" s="2"/>
    </row>
    <row r="712">
      <c r="B712" s="2"/>
      <c r="C712" s="2"/>
    </row>
    <row r="713">
      <c r="B713" s="2"/>
      <c r="C713" s="2"/>
    </row>
    <row r="714">
      <c r="B714" s="2"/>
      <c r="C714" s="2"/>
    </row>
    <row r="715">
      <c r="B715" s="2"/>
      <c r="C715" s="2"/>
    </row>
    <row r="716">
      <c r="B716" s="2"/>
      <c r="C716" s="2"/>
    </row>
    <row r="717">
      <c r="B717" s="2"/>
      <c r="C717" s="2"/>
    </row>
    <row r="718">
      <c r="B718" s="2"/>
      <c r="C718" s="2"/>
    </row>
    <row r="719">
      <c r="B719" s="2"/>
      <c r="C719" s="2"/>
    </row>
    <row r="720">
      <c r="B720" s="2"/>
      <c r="C720" s="2"/>
    </row>
    <row r="721">
      <c r="B721" s="2"/>
      <c r="C721" s="2"/>
    </row>
    <row r="722">
      <c r="B722" s="2"/>
      <c r="C722" s="2"/>
    </row>
    <row r="723">
      <c r="B723" s="2"/>
      <c r="C723" s="2"/>
    </row>
    <row r="724">
      <c r="B724" s="2"/>
      <c r="C724" s="2"/>
    </row>
    <row r="725">
      <c r="B725" s="2"/>
      <c r="C725" s="2"/>
    </row>
    <row r="726">
      <c r="B726" s="2"/>
      <c r="C726" s="2"/>
    </row>
    <row r="727">
      <c r="B727" s="2"/>
      <c r="C727" s="2"/>
    </row>
    <row r="728">
      <c r="B728" s="2"/>
      <c r="C728" s="2"/>
    </row>
    <row r="729">
      <c r="B729" s="2"/>
      <c r="C729" s="2"/>
    </row>
    <row r="730">
      <c r="B730" s="2"/>
      <c r="C730" s="2"/>
    </row>
    <row r="731">
      <c r="B731" s="2"/>
      <c r="C731" s="2"/>
    </row>
    <row r="732">
      <c r="B732" s="2"/>
      <c r="C732" s="2"/>
    </row>
    <row r="733">
      <c r="B733" s="2"/>
      <c r="C733" s="2"/>
    </row>
    <row r="734">
      <c r="B734" s="2"/>
      <c r="C734" s="2"/>
    </row>
    <row r="735">
      <c r="B735" s="2"/>
      <c r="C735" s="2"/>
    </row>
    <row r="736">
      <c r="B736" s="2"/>
      <c r="C736" s="2"/>
    </row>
    <row r="737">
      <c r="B737" s="2"/>
      <c r="C737" s="2"/>
    </row>
    <row r="738">
      <c r="B738" s="2"/>
      <c r="C738" s="2"/>
    </row>
    <row r="739">
      <c r="B739" s="2"/>
      <c r="C739" s="2"/>
    </row>
    <row r="740">
      <c r="B740" s="2"/>
      <c r="C740" s="2"/>
    </row>
    <row r="741">
      <c r="B741" s="2"/>
      <c r="C741" s="2"/>
    </row>
    <row r="742">
      <c r="B742" s="2"/>
      <c r="C742" s="2"/>
    </row>
    <row r="743">
      <c r="B743" s="2"/>
      <c r="C743" s="2"/>
    </row>
    <row r="744">
      <c r="B744" s="2"/>
      <c r="C744" s="2"/>
    </row>
    <row r="745">
      <c r="B745" s="2"/>
      <c r="C745" s="2"/>
    </row>
    <row r="746">
      <c r="B746" s="2"/>
      <c r="C746" s="2"/>
    </row>
    <row r="747">
      <c r="B747" s="2"/>
      <c r="C747" s="2"/>
    </row>
    <row r="748">
      <c r="B748" s="2"/>
      <c r="C748" s="2"/>
    </row>
    <row r="749">
      <c r="B749" s="2"/>
      <c r="C749" s="2"/>
    </row>
    <row r="750">
      <c r="B750" s="2"/>
      <c r="C750" s="2"/>
    </row>
    <row r="751">
      <c r="B751" s="2"/>
      <c r="C751" s="2"/>
    </row>
    <row r="752">
      <c r="B752" s="2"/>
      <c r="C752" s="2"/>
    </row>
    <row r="753">
      <c r="B753" s="2"/>
      <c r="C753" s="2"/>
    </row>
    <row r="754">
      <c r="B754" s="2"/>
      <c r="C754" s="2"/>
    </row>
    <row r="755">
      <c r="B755" s="2"/>
      <c r="C755" s="2"/>
    </row>
    <row r="756">
      <c r="B756" s="2"/>
      <c r="C756" s="2"/>
    </row>
    <row r="757">
      <c r="B757" s="2"/>
      <c r="C757" s="2"/>
    </row>
    <row r="758">
      <c r="B758" s="2"/>
      <c r="C758" s="2"/>
    </row>
    <row r="759">
      <c r="B759" s="2"/>
      <c r="C759" s="2"/>
    </row>
    <row r="760">
      <c r="B760" s="2"/>
      <c r="C760" s="2"/>
    </row>
    <row r="761">
      <c r="B761" s="2"/>
      <c r="C761" s="2"/>
    </row>
    <row r="762">
      <c r="B762" s="2"/>
      <c r="C762" s="2"/>
    </row>
    <row r="763">
      <c r="B763" s="2"/>
      <c r="C763" s="2"/>
    </row>
    <row r="764">
      <c r="B764" s="2"/>
      <c r="C764" s="2"/>
    </row>
    <row r="765">
      <c r="B765" s="2"/>
      <c r="C765" s="2"/>
    </row>
    <row r="766">
      <c r="B766" s="2"/>
      <c r="C766" s="2"/>
    </row>
    <row r="767">
      <c r="B767" s="2"/>
      <c r="C767" s="2"/>
    </row>
    <row r="768">
      <c r="B768" s="2"/>
      <c r="C768" s="2"/>
    </row>
    <row r="769">
      <c r="B769" s="2"/>
      <c r="C769" s="2"/>
    </row>
    <row r="770">
      <c r="B770" s="2"/>
      <c r="C770" s="2"/>
    </row>
    <row r="771">
      <c r="B771" s="2"/>
      <c r="C771" s="2"/>
    </row>
    <row r="772">
      <c r="B772" s="2"/>
      <c r="C772" s="2"/>
    </row>
    <row r="773">
      <c r="B773" s="2"/>
      <c r="C773" s="2"/>
    </row>
    <row r="774">
      <c r="B774" s="2"/>
      <c r="C774" s="2"/>
    </row>
    <row r="775">
      <c r="B775" s="2"/>
      <c r="C775" s="2"/>
    </row>
    <row r="776">
      <c r="B776" s="2"/>
      <c r="C776" s="2"/>
    </row>
    <row r="777">
      <c r="B777" s="2"/>
      <c r="C777" s="2"/>
    </row>
    <row r="778">
      <c r="B778" s="2"/>
      <c r="C778" s="2"/>
    </row>
    <row r="779">
      <c r="B779" s="2"/>
      <c r="C779" s="2"/>
    </row>
    <row r="780">
      <c r="B780" s="2"/>
      <c r="C780" s="2"/>
    </row>
    <row r="781">
      <c r="B781" s="2"/>
      <c r="C781" s="2"/>
    </row>
    <row r="782">
      <c r="B782" s="2"/>
      <c r="C782" s="2"/>
    </row>
    <row r="783">
      <c r="B783" s="2"/>
      <c r="C783" s="2"/>
    </row>
    <row r="784">
      <c r="B784" s="2"/>
      <c r="C784" s="2"/>
    </row>
    <row r="785">
      <c r="B785" s="2"/>
      <c r="C785" s="2"/>
    </row>
    <row r="786">
      <c r="B786" s="2"/>
      <c r="C786" s="2"/>
    </row>
    <row r="787">
      <c r="B787" s="2"/>
      <c r="C787" s="2"/>
    </row>
    <row r="788">
      <c r="B788" s="2"/>
      <c r="C788" s="2"/>
    </row>
    <row r="789">
      <c r="B789" s="2"/>
      <c r="C789" s="2"/>
    </row>
    <row r="790">
      <c r="B790" s="2"/>
      <c r="C790" s="2"/>
    </row>
    <row r="791">
      <c r="B791" s="2"/>
      <c r="C791" s="2"/>
    </row>
    <row r="792">
      <c r="B792" s="2"/>
      <c r="C792" s="2"/>
    </row>
    <row r="793">
      <c r="B793" s="2"/>
      <c r="C793" s="2"/>
    </row>
    <row r="794">
      <c r="B794" s="2"/>
      <c r="C794" s="2"/>
    </row>
    <row r="795">
      <c r="B795" s="2"/>
      <c r="C795" s="2"/>
    </row>
    <row r="796">
      <c r="B796" s="2"/>
      <c r="C796" s="2"/>
    </row>
    <row r="797">
      <c r="B797" s="2"/>
      <c r="C797" s="2"/>
    </row>
    <row r="798">
      <c r="B798" s="2"/>
      <c r="C798" s="2"/>
    </row>
    <row r="799">
      <c r="B799" s="2"/>
      <c r="C799" s="2"/>
    </row>
    <row r="800">
      <c r="B800" s="2"/>
      <c r="C800" s="2"/>
    </row>
    <row r="801">
      <c r="B801" s="2"/>
      <c r="C801" s="2"/>
    </row>
    <row r="802">
      <c r="B802" s="2"/>
      <c r="C802" s="2"/>
    </row>
    <row r="803">
      <c r="B803" s="2"/>
      <c r="C803" s="2"/>
    </row>
    <row r="804">
      <c r="B804" s="2"/>
      <c r="C804" s="2"/>
    </row>
    <row r="805">
      <c r="B805" s="2"/>
      <c r="C805" s="2"/>
    </row>
    <row r="806">
      <c r="B806" s="2"/>
      <c r="C806" s="2"/>
    </row>
    <row r="807">
      <c r="B807" s="2"/>
      <c r="C807" s="2"/>
    </row>
    <row r="808">
      <c r="B808" s="2"/>
      <c r="C808" s="2"/>
    </row>
    <row r="809">
      <c r="B809" s="2"/>
      <c r="C809" s="2"/>
    </row>
    <row r="810">
      <c r="B810" s="2"/>
      <c r="C810" s="2"/>
    </row>
    <row r="811">
      <c r="B811" s="2"/>
      <c r="C811" s="2"/>
    </row>
    <row r="812">
      <c r="B812" s="2"/>
      <c r="C812" s="2"/>
    </row>
    <row r="813">
      <c r="B813" s="2"/>
      <c r="C813" s="2"/>
    </row>
    <row r="814">
      <c r="B814" s="2"/>
      <c r="C814" s="2"/>
    </row>
    <row r="815">
      <c r="B815" s="2"/>
      <c r="C815" s="2"/>
    </row>
    <row r="816">
      <c r="B816" s="2"/>
      <c r="C816" s="2"/>
    </row>
    <row r="817">
      <c r="B817" s="2"/>
      <c r="C817" s="2"/>
    </row>
    <row r="818">
      <c r="B818" s="2"/>
      <c r="C818" s="2"/>
    </row>
    <row r="819">
      <c r="B819" s="2"/>
      <c r="C819" s="2"/>
    </row>
    <row r="820">
      <c r="B820" s="2"/>
      <c r="C820" s="2"/>
    </row>
    <row r="821">
      <c r="B821" s="2"/>
      <c r="C821" s="2"/>
    </row>
    <row r="822">
      <c r="B822" s="2"/>
      <c r="C822" s="2"/>
    </row>
    <row r="823">
      <c r="B823" s="2"/>
      <c r="C823" s="2"/>
    </row>
    <row r="824">
      <c r="B824" s="2"/>
      <c r="C824" s="2"/>
    </row>
    <row r="825">
      <c r="B825" s="2"/>
      <c r="C825" s="2"/>
    </row>
    <row r="826">
      <c r="B826" s="2"/>
      <c r="C826" s="2"/>
    </row>
    <row r="827">
      <c r="B827" s="2"/>
      <c r="C827" s="2"/>
    </row>
    <row r="828">
      <c r="B828" s="2"/>
      <c r="C828" s="2"/>
    </row>
    <row r="829">
      <c r="B829" s="2"/>
      <c r="C829" s="2"/>
    </row>
    <row r="830">
      <c r="B830" s="2"/>
      <c r="C830" s="2"/>
    </row>
    <row r="831">
      <c r="B831" s="2"/>
      <c r="C831" s="2"/>
    </row>
    <row r="832">
      <c r="B832" s="2"/>
      <c r="C832" s="2"/>
    </row>
    <row r="833">
      <c r="B833" s="2"/>
      <c r="C833" s="2"/>
    </row>
    <row r="834">
      <c r="B834" s="2"/>
      <c r="C834" s="2"/>
    </row>
    <row r="835">
      <c r="B835" s="2"/>
      <c r="C835" s="2"/>
    </row>
    <row r="836">
      <c r="B836" s="2"/>
      <c r="C836" s="2"/>
    </row>
    <row r="837">
      <c r="B837" s="2"/>
      <c r="C837" s="2"/>
    </row>
    <row r="838">
      <c r="B838" s="2"/>
      <c r="C838" s="2"/>
    </row>
    <row r="839">
      <c r="B839" s="2"/>
      <c r="C839" s="2"/>
    </row>
    <row r="840">
      <c r="B840" s="2"/>
      <c r="C840" s="2"/>
    </row>
    <row r="841">
      <c r="B841" s="2"/>
      <c r="C841" s="2"/>
    </row>
    <row r="842">
      <c r="B842" s="2"/>
      <c r="C842" s="2"/>
    </row>
    <row r="843">
      <c r="B843" s="2"/>
      <c r="C843" s="2"/>
    </row>
    <row r="844">
      <c r="B844" s="2"/>
      <c r="C844" s="2"/>
    </row>
    <row r="845">
      <c r="B845" s="2"/>
      <c r="C845" s="2"/>
    </row>
    <row r="846">
      <c r="B846" s="2"/>
      <c r="C846" s="2"/>
    </row>
    <row r="847">
      <c r="B847" s="2"/>
      <c r="C847" s="2"/>
    </row>
    <row r="848">
      <c r="B848" s="2"/>
      <c r="C848" s="2"/>
    </row>
    <row r="849">
      <c r="B849" s="2"/>
      <c r="C849" s="2"/>
    </row>
    <row r="850">
      <c r="B850" s="2"/>
      <c r="C850" s="2"/>
    </row>
    <row r="851">
      <c r="B851" s="2"/>
      <c r="C851" s="2"/>
    </row>
    <row r="852">
      <c r="B852" s="2"/>
      <c r="C852" s="2"/>
    </row>
    <row r="853">
      <c r="B853" s="2"/>
      <c r="C853" s="2"/>
    </row>
    <row r="854">
      <c r="B854" s="2"/>
      <c r="C854" s="2"/>
    </row>
    <row r="855">
      <c r="B855" s="2"/>
      <c r="C855" s="2"/>
    </row>
    <row r="856">
      <c r="B856" s="2"/>
      <c r="C856" s="2"/>
    </row>
    <row r="857">
      <c r="B857" s="2"/>
      <c r="C857" s="2"/>
    </row>
    <row r="858">
      <c r="B858" s="2"/>
      <c r="C858" s="2"/>
    </row>
    <row r="859">
      <c r="B859" s="2"/>
      <c r="C859" s="2"/>
    </row>
    <row r="860">
      <c r="B860" s="2"/>
      <c r="C860" s="2"/>
    </row>
    <row r="861">
      <c r="B861" s="2"/>
      <c r="C861" s="2"/>
    </row>
    <row r="862">
      <c r="B862" s="2"/>
      <c r="C862" s="2"/>
    </row>
    <row r="863">
      <c r="B863" s="2"/>
      <c r="C863" s="2"/>
    </row>
    <row r="864">
      <c r="B864" s="2"/>
      <c r="C864" s="2"/>
    </row>
    <row r="865">
      <c r="B865" s="2"/>
      <c r="C865" s="2"/>
    </row>
    <row r="866">
      <c r="B866" s="2"/>
      <c r="C866" s="2"/>
    </row>
    <row r="867">
      <c r="B867" s="2"/>
      <c r="C867" s="2"/>
    </row>
    <row r="868">
      <c r="B868" s="2"/>
      <c r="C868" s="2"/>
    </row>
    <row r="869">
      <c r="B869" s="2"/>
      <c r="C869" s="2"/>
    </row>
    <row r="870">
      <c r="B870" s="2"/>
      <c r="C870" s="2"/>
    </row>
    <row r="871">
      <c r="B871" s="2"/>
      <c r="C871" s="2"/>
    </row>
    <row r="872">
      <c r="B872" s="2"/>
      <c r="C872" s="2"/>
    </row>
    <row r="873">
      <c r="B873" s="2"/>
      <c r="C873" s="2"/>
    </row>
    <row r="874">
      <c r="B874" s="2"/>
      <c r="C874" s="2"/>
    </row>
    <row r="875">
      <c r="B875" s="2"/>
      <c r="C875" s="2"/>
    </row>
    <row r="876">
      <c r="B876" s="2"/>
      <c r="C876" s="2"/>
    </row>
    <row r="877">
      <c r="B877" s="2"/>
      <c r="C877" s="2"/>
    </row>
    <row r="878">
      <c r="B878" s="2"/>
      <c r="C878" s="2"/>
    </row>
    <row r="879">
      <c r="B879" s="2"/>
      <c r="C879" s="2"/>
    </row>
    <row r="880">
      <c r="B880" s="2"/>
      <c r="C880" s="2"/>
    </row>
    <row r="881">
      <c r="B881" s="2"/>
      <c r="C881" s="2"/>
    </row>
    <row r="882">
      <c r="B882" s="2"/>
      <c r="C882" s="2"/>
    </row>
    <row r="883">
      <c r="B883" s="2"/>
      <c r="C883" s="2"/>
    </row>
    <row r="884">
      <c r="B884" s="2"/>
      <c r="C884" s="2"/>
    </row>
    <row r="885">
      <c r="B885" s="2"/>
      <c r="C885" s="2"/>
    </row>
    <row r="886">
      <c r="B886" s="2"/>
      <c r="C886" s="2"/>
    </row>
    <row r="887">
      <c r="B887" s="2"/>
      <c r="C887" s="2"/>
    </row>
    <row r="888">
      <c r="B888" s="2"/>
      <c r="C888" s="2"/>
    </row>
    <row r="889">
      <c r="B889" s="2"/>
      <c r="C889" s="2"/>
    </row>
    <row r="890">
      <c r="B890" s="2"/>
      <c r="C890" s="2"/>
    </row>
    <row r="891">
      <c r="B891" s="2"/>
      <c r="C891" s="2"/>
    </row>
    <row r="892">
      <c r="B892" s="2"/>
      <c r="C892" s="2"/>
    </row>
    <row r="893">
      <c r="B893" s="2"/>
      <c r="C893" s="2"/>
    </row>
    <row r="894">
      <c r="B894" s="2"/>
      <c r="C894" s="2"/>
    </row>
    <row r="895">
      <c r="B895" s="2"/>
      <c r="C895" s="2"/>
    </row>
    <row r="896">
      <c r="B896" s="2"/>
      <c r="C896" s="2"/>
    </row>
    <row r="897">
      <c r="B897" s="2"/>
      <c r="C897" s="2"/>
    </row>
    <row r="898">
      <c r="B898" s="2"/>
      <c r="C898" s="2"/>
    </row>
    <row r="899">
      <c r="B899" s="2"/>
      <c r="C899" s="2"/>
    </row>
    <row r="900">
      <c r="B900" s="2"/>
      <c r="C900" s="2"/>
    </row>
    <row r="901">
      <c r="B901" s="2"/>
      <c r="C901" s="2"/>
    </row>
    <row r="902">
      <c r="B902" s="2"/>
      <c r="C902" s="2"/>
    </row>
    <row r="903">
      <c r="B903" s="2"/>
      <c r="C903" s="2"/>
    </row>
    <row r="904">
      <c r="B904" s="2"/>
      <c r="C904" s="2"/>
    </row>
    <row r="905">
      <c r="B905" s="2"/>
      <c r="C905" s="2"/>
    </row>
    <row r="906">
      <c r="B906" s="2"/>
      <c r="C906" s="2"/>
    </row>
    <row r="907">
      <c r="B907" s="2"/>
      <c r="C907" s="2"/>
    </row>
    <row r="908">
      <c r="B908" s="2"/>
      <c r="C908" s="2"/>
    </row>
    <row r="909">
      <c r="B909" s="2"/>
      <c r="C909" s="2"/>
    </row>
    <row r="910">
      <c r="B910" s="2"/>
      <c r="C910" s="2"/>
    </row>
    <row r="911">
      <c r="B911" s="2"/>
      <c r="C911" s="2"/>
    </row>
    <row r="912">
      <c r="B912" s="2"/>
      <c r="C912" s="2"/>
    </row>
    <row r="913">
      <c r="B913" s="2"/>
      <c r="C913" s="2"/>
    </row>
    <row r="914">
      <c r="B914" s="2"/>
      <c r="C914" s="2"/>
    </row>
    <row r="915">
      <c r="B915" s="2"/>
      <c r="C915" s="2"/>
    </row>
    <row r="916">
      <c r="B916" s="2"/>
      <c r="C916" s="2"/>
    </row>
    <row r="917">
      <c r="B917" s="2"/>
      <c r="C917" s="2"/>
    </row>
    <row r="918">
      <c r="B918" s="2"/>
      <c r="C918" s="2"/>
    </row>
    <row r="919">
      <c r="B919" s="2"/>
      <c r="C919" s="2"/>
    </row>
    <row r="920">
      <c r="B920" s="2"/>
      <c r="C920" s="2"/>
    </row>
    <row r="921">
      <c r="B921" s="2"/>
      <c r="C921" s="2"/>
    </row>
    <row r="922">
      <c r="B922" s="2"/>
      <c r="C922" s="2"/>
    </row>
    <row r="923">
      <c r="B923" s="2"/>
      <c r="C923" s="2"/>
    </row>
    <row r="924">
      <c r="B924" s="2"/>
      <c r="C924" s="2"/>
    </row>
    <row r="925">
      <c r="B925" s="2"/>
      <c r="C925" s="2"/>
    </row>
    <row r="926">
      <c r="B926" s="2"/>
      <c r="C926" s="2"/>
    </row>
    <row r="927">
      <c r="B927" s="2"/>
      <c r="C927" s="2"/>
    </row>
    <row r="928">
      <c r="B928" s="2"/>
      <c r="C928" s="2"/>
    </row>
    <row r="929">
      <c r="B929" s="2"/>
      <c r="C929" s="2"/>
    </row>
    <row r="930">
      <c r="B930" s="2"/>
      <c r="C930" s="2"/>
    </row>
    <row r="931">
      <c r="B931" s="2"/>
      <c r="C931" s="2"/>
    </row>
    <row r="932">
      <c r="B932" s="2"/>
      <c r="C932" s="2"/>
    </row>
    <row r="933">
      <c r="B933" s="2"/>
      <c r="C933" s="2"/>
    </row>
    <row r="934">
      <c r="B934" s="2"/>
      <c r="C934" s="2"/>
    </row>
    <row r="935">
      <c r="B935" s="2"/>
      <c r="C935" s="2"/>
    </row>
    <row r="936">
      <c r="B936" s="2"/>
      <c r="C936" s="2"/>
    </row>
    <row r="937">
      <c r="B937" s="2"/>
      <c r="C937" s="2"/>
    </row>
    <row r="938">
      <c r="B938" s="2"/>
      <c r="C938" s="2"/>
    </row>
    <row r="939">
      <c r="B939" s="2"/>
      <c r="C939" s="2"/>
    </row>
    <row r="940">
      <c r="B940" s="2"/>
      <c r="C940" s="2"/>
    </row>
    <row r="941">
      <c r="B941" s="2"/>
      <c r="C941" s="2"/>
    </row>
    <row r="942">
      <c r="B942" s="2"/>
      <c r="C942" s="2"/>
    </row>
    <row r="943">
      <c r="B943" s="2"/>
      <c r="C943" s="2"/>
    </row>
    <row r="944">
      <c r="B944" s="2"/>
      <c r="C944" s="2"/>
    </row>
    <row r="945">
      <c r="B945" s="2"/>
      <c r="C945" s="2"/>
    </row>
    <row r="946">
      <c r="B946" s="2"/>
      <c r="C946" s="2"/>
    </row>
    <row r="947">
      <c r="B947" s="2"/>
      <c r="C947" s="2"/>
    </row>
    <row r="948">
      <c r="B948" s="2"/>
      <c r="C948" s="2"/>
    </row>
    <row r="949">
      <c r="B949" s="2"/>
      <c r="C949" s="2"/>
    </row>
    <row r="950">
      <c r="B950" s="2"/>
      <c r="C950" s="2"/>
    </row>
    <row r="951">
      <c r="B951" s="2"/>
      <c r="C951" s="2"/>
    </row>
    <row r="952">
      <c r="B952" s="2"/>
      <c r="C952" s="2"/>
    </row>
    <row r="953">
      <c r="B953" s="2"/>
      <c r="C953" s="2"/>
    </row>
    <row r="954">
      <c r="B954" s="2"/>
      <c r="C954" s="2"/>
    </row>
    <row r="955">
      <c r="B955" s="2"/>
      <c r="C955" s="2"/>
    </row>
    <row r="956">
      <c r="B956" s="2"/>
      <c r="C956" s="2"/>
    </row>
    <row r="957">
      <c r="B957" s="2"/>
      <c r="C957" s="2"/>
    </row>
    <row r="958">
      <c r="B958" s="2"/>
      <c r="C958" s="2"/>
    </row>
    <row r="959">
      <c r="B959" s="2"/>
      <c r="C959" s="2"/>
    </row>
    <row r="960">
      <c r="B960" s="2"/>
      <c r="C960" s="2"/>
    </row>
    <row r="961">
      <c r="B961" s="2"/>
      <c r="C961" s="2"/>
    </row>
    <row r="962">
      <c r="B962" s="2"/>
      <c r="C962" s="2"/>
    </row>
    <row r="963">
      <c r="B963" s="2"/>
      <c r="C963" s="2"/>
    </row>
    <row r="964">
      <c r="B964" s="2"/>
      <c r="C964" s="2"/>
    </row>
    <row r="965">
      <c r="B965" s="2"/>
      <c r="C965" s="2"/>
    </row>
    <row r="966">
      <c r="B966" s="2"/>
      <c r="C966" s="2"/>
    </row>
    <row r="967">
      <c r="B967" s="2"/>
      <c r="C967" s="2"/>
    </row>
    <row r="968">
      <c r="B968" s="2"/>
      <c r="C968" s="2"/>
    </row>
    <row r="969">
      <c r="B969" s="2"/>
      <c r="C969" s="2"/>
    </row>
    <row r="970">
      <c r="B970" s="2"/>
      <c r="C970" s="2"/>
    </row>
    <row r="971">
      <c r="B971" s="2"/>
      <c r="C971" s="2"/>
    </row>
    <row r="972">
      <c r="B972" s="2"/>
      <c r="C972" s="2"/>
    </row>
    <row r="973">
      <c r="B973" s="2"/>
      <c r="C973" s="2"/>
    </row>
    <row r="974">
      <c r="B974" s="2"/>
      <c r="C974" s="2"/>
    </row>
    <row r="975">
      <c r="B975" s="2"/>
      <c r="C975" s="2"/>
    </row>
    <row r="976">
      <c r="B976" s="2"/>
      <c r="C976" s="2"/>
    </row>
    <row r="977">
      <c r="B977" s="2"/>
      <c r="C977" s="2"/>
    </row>
    <row r="978">
      <c r="B978" s="2"/>
      <c r="C978" s="2"/>
    </row>
    <row r="979">
      <c r="B979" s="2"/>
      <c r="C979" s="2"/>
    </row>
    <row r="980">
      <c r="B980" s="2"/>
      <c r="C980" s="2"/>
    </row>
    <row r="981">
      <c r="B981" s="2"/>
      <c r="C981" s="2"/>
    </row>
    <row r="982">
      <c r="B982" s="2"/>
      <c r="C982" s="2"/>
    </row>
    <row r="983">
      <c r="B983" s="2"/>
      <c r="C983" s="2"/>
    </row>
    <row r="984">
      <c r="B984" s="2"/>
      <c r="C984" s="2"/>
    </row>
    <row r="985">
      <c r="B985" s="2"/>
      <c r="C985" s="2"/>
    </row>
    <row r="986">
      <c r="B986" s="2"/>
      <c r="C986" s="2"/>
    </row>
    <row r="987">
      <c r="B987" s="2"/>
      <c r="C987" s="2"/>
    </row>
    <row r="988">
      <c r="B988" s="2"/>
      <c r="C988" s="2"/>
    </row>
    <row r="989">
      <c r="B989" s="2"/>
      <c r="C989" s="2"/>
    </row>
    <row r="990">
      <c r="B990" s="2"/>
      <c r="C990" s="2"/>
    </row>
    <row r="991">
      <c r="B991" s="2"/>
      <c r="C991" s="2"/>
    </row>
    <row r="992">
      <c r="B992" s="2"/>
      <c r="C992" s="2"/>
    </row>
    <row r="993">
      <c r="B993" s="2"/>
      <c r="C993" s="2"/>
    </row>
    <row r="994">
      <c r="B994" s="2"/>
      <c r="C994" s="2"/>
    </row>
    <row r="995">
      <c r="B995" s="2"/>
      <c r="C995" s="2"/>
    </row>
    <row r="996">
      <c r="B996" s="2"/>
      <c r="C996" s="2"/>
    </row>
    <row r="997">
      <c r="B997" s="2"/>
      <c r="C997" s="2"/>
    </row>
    <row r="998">
      <c r="B998" s="2"/>
      <c r="C998" s="2"/>
    </row>
    <row r="999">
      <c r="B999" s="2"/>
      <c r="C999" s="2"/>
    </row>
    <row r="1000">
      <c r="B1000" s="2"/>
      <c r="C1000" s="2"/>
    </row>
  </sheetData>
  <hyperlinks>
    <hyperlink r:id="rId1" ref="C30"/>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64.5"/>
    <col customWidth="1" min="6" max="6" width="12.25"/>
  </cols>
  <sheetData>
    <row r="1">
      <c r="A1" s="5" t="s">
        <v>0</v>
      </c>
      <c r="B1" s="5" t="s">
        <v>1</v>
      </c>
      <c r="C1" s="6" t="s">
        <v>2</v>
      </c>
      <c r="D1" s="7" t="s">
        <v>3</v>
      </c>
      <c r="E1" s="5" t="s">
        <v>4</v>
      </c>
      <c r="F1" s="8" t="s">
        <v>5</v>
      </c>
      <c r="G1" s="7" t="s">
        <v>6</v>
      </c>
      <c r="H1" s="7" t="s">
        <v>7</v>
      </c>
      <c r="I1" s="7" t="s">
        <v>8</v>
      </c>
      <c r="J1" s="7" t="s">
        <v>9</v>
      </c>
      <c r="K1" s="7" t="s">
        <v>10</v>
      </c>
    </row>
    <row r="2">
      <c r="A2" s="9" t="s">
        <v>11</v>
      </c>
      <c r="B2" s="9" t="s">
        <v>12</v>
      </c>
      <c r="C2" s="10" t="s">
        <v>13</v>
      </c>
      <c r="D2" s="11" t="s">
        <v>14</v>
      </c>
      <c r="E2" s="12">
        <v>0.015180532319202158</v>
      </c>
      <c r="F2" s="13">
        <v>6787.0</v>
      </c>
      <c r="G2" s="11" t="s">
        <v>14</v>
      </c>
      <c r="H2" s="11" t="s">
        <v>14</v>
      </c>
      <c r="I2" s="11" t="s">
        <v>14</v>
      </c>
      <c r="J2" s="11"/>
      <c r="K2" s="11"/>
    </row>
    <row r="3">
      <c r="A3" s="9" t="s">
        <v>15</v>
      </c>
      <c r="B3" s="9" t="s">
        <v>16</v>
      </c>
      <c r="C3" s="10" t="s">
        <v>17</v>
      </c>
      <c r="D3" s="11" t="s">
        <v>14</v>
      </c>
      <c r="E3" s="12">
        <v>0.009764449035720508</v>
      </c>
      <c r="F3" s="13">
        <v>280799.0</v>
      </c>
      <c r="G3" s="11" t="s">
        <v>14</v>
      </c>
      <c r="H3" s="11" t="s">
        <v>14</v>
      </c>
      <c r="I3" s="11" t="s">
        <v>14</v>
      </c>
      <c r="J3" s="11"/>
      <c r="K3" s="11"/>
    </row>
    <row r="4">
      <c r="A4" s="9" t="s">
        <v>18</v>
      </c>
      <c r="B4" s="9" t="s">
        <v>19</v>
      </c>
      <c r="C4" s="10" t="s">
        <v>20</v>
      </c>
      <c r="D4" s="11" t="s">
        <v>14</v>
      </c>
      <c r="E4" s="12">
        <v>0.008886165260020779</v>
      </c>
      <c r="F4" s="13">
        <v>106538.0</v>
      </c>
      <c r="G4" s="11" t="s">
        <v>14</v>
      </c>
      <c r="H4" s="11" t="s">
        <v>14</v>
      </c>
      <c r="I4" s="11" t="s">
        <v>14</v>
      </c>
      <c r="J4" s="11"/>
      <c r="K4" s="11"/>
    </row>
    <row r="5">
      <c r="A5" s="9" t="s">
        <v>21</v>
      </c>
      <c r="B5" s="9" t="s">
        <v>22</v>
      </c>
      <c r="C5" s="10" t="s">
        <v>23</v>
      </c>
      <c r="D5" s="11" t="s">
        <v>14</v>
      </c>
      <c r="E5" s="12">
        <v>0.006493832516850711</v>
      </c>
      <c r="F5" s="13">
        <v>598436.0</v>
      </c>
      <c r="G5" s="11" t="s">
        <v>14</v>
      </c>
      <c r="H5" s="11" t="s">
        <v>14</v>
      </c>
      <c r="I5" s="11" t="s">
        <v>14</v>
      </c>
      <c r="J5" s="11"/>
      <c r="K5" s="11"/>
    </row>
    <row r="6">
      <c r="A6" s="9" t="s">
        <v>24</v>
      </c>
      <c r="B6" s="9" t="s">
        <v>25</v>
      </c>
      <c r="C6" s="10" t="s">
        <v>26</v>
      </c>
      <c r="D6" s="11" t="s">
        <v>14</v>
      </c>
      <c r="E6" s="12">
        <v>0.006418606080673922</v>
      </c>
      <c r="F6" s="13">
        <v>16260.0</v>
      </c>
      <c r="G6" s="11" t="s">
        <v>14</v>
      </c>
      <c r="H6" s="11" t="s">
        <v>14</v>
      </c>
      <c r="I6" s="11" t="s">
        <v>14</v>
      </c>
      <c r="J6" s="11"/>
      <c r="K6" s="11"/>
    </row>
    <row r="7">
      <c r="A7" s="9" t="s">
        <v>27</v>
      </c>
      <c r="B7" s="9" t="s">
        <v>28</v>
      </c>
      <c r="C7" s="10" t="s">
        <v>29</v>
      </c>
      <c r="D7" s="11" t="s">
        <v>14</v>
      </c>
      <c r="E7" s="12">
        <v>0.0052893840833457</v>
      </c>
      <c r="F7" s="13">
        <v>1802.0</v>
      </c>
      <c r="G7" s="11" t="s">
        <v>14</v>
      </c>
      <c r="H7" s="11" t="s">
        <v>14</v>
      </c>
      <c r="I7" s="11" t="s">
        <v>14</v>
      </c>
      <c r="J7" s="11"/>
      <c r="K7" s="11"/>
    </row>
    <row r="8">
      <c r="A8" s="9" t="s">
        <v>30</v>
      </c>
      <c r="B8" s="9" t="s">
        <v>31</v>
      </c>
      <c r="C8" s="10" t="s">
        <v>32</v>
      </c>
      <c r="D8" s="11" t="s">
        <v>14</v>
      </c>
      <c r="E8" s="12">
        <v>0.0052893840833457</v>
      </c>
      <c r="F8" s="13">
        <v>3111.0</v>
      </c>
      <c r="G8" s="11" t="s">
        <v>14</v>
      </c>
      <c r="H8" s="11" t="s">
        <v>14</v>
      </c>
      <c r="I8" s="11" t="s">
        <v>14</v>
      </c>
      <c r="J8" s="11"/>
      <c r="K8" s="11"/>
    </row>
    <row r="9">
      <c r="A9" s="9" t="s">
        <v>33</v>
      </c>
      <c r="B9" s="9" t="s">
        <v>34</v>
      </c>
      <c r="C9" s="10" t="s">
        <v>35</v>
      </c>
      <c r="D9" s="11" t="s">
        <v>14</v>
      </c>
      <c r="E9" s="12">
        <v>0.0052893840833457</v>
      </c>
      <c r="F9" s="13">
        <v>8184.0</v>
      </c>
      <c r="G9" s="11" t="s">
        <v>14</v>
      </c>
      <c r="H9" s="11" t="s">
        <v>14</v>
      </c>
      <c r="I9" s="11" t="s">
        <v>14</v>
      </c>
      <c r="J9" s="11"/>
      <c r="K9" s="11"/>
    </row>
    <row r="10">
      <c r="A10" s="9" t="s">
        <v>36</v>
      </c>
      <c r="B10" s="9" t="s">
        <v>37</v>
      </c>
      <c r="C10" s="10" t="s">
        <v>38</v>
      </c>
      <c r="D10" s="11" t="s">
        <v>14</v>
      </c>
      <c r="E10" s="12">
        <v>0.0052893840833457</v>
      </c>
      <c r="F10" s="13">
        <v>49964.0</v>
      </c>
      <c r="G10" s="11" t="s">
        <v>14</v>
      </c>
      <c r="H10" s="11" t="s">
        <v>14</v>
      </c>
      <c r="I10" s="11" t="s">
        <v>14</v>
      </c>
      <c r="J10" s="11"/>
      <c r="K10" s="11"/>
    </row>
    <row r="11">
      <c r="A11" s="9" t="s">
        <v>39</v>
      </c>
      <c r="B11" s="9" t="s">
        <v>40</v>
      </c>
      <c r="C11" s="10" t="s">
        <v>41</v>
      </c>
      <c r="D11" s="11" t="s">
        <v>14</v>
      </c>
      <c r="E11" s="12">
        <v>0.0052893840833457</v>
      </c>
      <c r="F11" s="13">
        <v>6569.0</v>
      </c>
      <c r="G11" s="11" t="s">
        <v>14</v>
      </c>
      <c r="H11" s="11" t="s">
        <v>14</v>
      </c>
      <c r="I11" s="11" t="s">
        <v>14</v>
      </c>
      <c r="J11" s="11"/>
      <c r="K11" s="11"/>
    </row>
    <row r="12">
      <c r="A12" s="9" t="s">
        <v>42</v>
      </c>
      <c r="B12" s="9" t="s">
        <v>43</v>
      </c>
      <c r="C12" s="10" t="s">
        <v>44</v>
      </c>
      <c r="D12" s="11" t="s">
        <v>14</v>
      </c>
      <c r="E12" s="12">
        <v>0.0052893840833457</v>
      </c>
      <c r="F12" s="13">
        <v>1269.0</v>
      </c>
      <c r="G12" s="11" t="s">
        <v>14</v>
      </c>
      <c r="H12" s="11" t="s">
        <v>14</v>
      </c>
      <c r="I12" s="11" t="s">
        <v>14</v>
      </c>
      <c r="J12" s="11"/>
      <c r="K12" s="11"/>
    </row>
    <row r="13">
      <c r="A13" s="9" t="s">
        <v>45</v>
      </c>
      <c r="B13" s="9" t="s">
        <v>46</v>
      </c>
      <c r="C13" s="10" t="s">
        <v>47</v>
      </c>
      <c r="D13" s="11" t="s">
        <v>14</v>
      </c>
      <c r="E13" s="12">
        <v>0.003060136525021998</v>
      </c>
      <c r="F13" s="13">
        <v>70515.0</v>
      </c>
      <c r="G13" s="11" t="s">
        <v>14</v>
      </c>
      <c r="H13" s="11" t="s">
        <v>14</v>
      </c>
      <c r="I13" s="11" t="s">
        <v>14</v>
      </c>
      <c r="J13" s="11"/>
      <c r="K13" s="11"/>
    </row>
    <row r="14">
      <c r="A14" s="9" t="s">
        <v>48</v>
      </c>
      <c r="B14" s="9" t="s">
        <v>49</v>
      </c>
      <c r="C14" s="10" t="s">
        <v>50</v>
      </c>
      <c r="D14" s="11" t="s">
        <v>14</v>
      </c>
      <c r="E14" s="12">
        <v>0.0027586725005669392</v>
      </c>
      <c r="F14" s="13">
        <v>460978.0</v>
      </c>
      <c r="G14" s="11" t="s">
        <v>14</v>
      </c>
      <c r="H14" s="11" t="s">
        <v>14</v>
      </c>
      <c r="I14" s="11" t="s">
        <v>14</v>
      </c>
      <c r="J14" s="11"/>
      <c r="K14" s="11"/>
    </row>
    <row r="15">
      <c r="A15" s="9" t="s">
        <v>51</v>
      </c>
      <c r="B15" s="9" t="s">
        <v>52</v>
      </c>
      <c r="C15" s="10" t="s">
        <v>53</v>
      </c>
      <c r="D15" s="11" t="s">
        <v>14</v>
      </c>
      <c r="E15" s="12">
        <v>0.0022481388970090415</v>
      </c>
      <c r="F15" s="13">
        <v>3193.0</v>
      </c>
      <c r="G15" s="11" t="s">
        <v>14</v>
      </c>
      <c r="H15" s="11" t="s">
        <v>14</v>
      </c>
      <c r="I15" s="11" t="s">
        <v>14</v>
      </c>
      <c r="J15" s="11" t="s">
        <v>14</v>
      </c>
      <c r="K15" s="11"/>
    </row>
    <row r="16">
      <c r="A16" s="9" t="s">
        <v>54</v>
      </c>
      <c r="B16" s="9" t="s">
        <v>55</v>
      </c>
      <c r="C16" s="10" t="s">
        <v>56</v>
      </c>
      <c r="D16" s="11" t="s">
        <v>14</v>
      </c>
      <c r="E16" s="12">
        <v>0.0021422005537550088</v>
      </c>
      <c r="F16" s="13">
        <v>141888.0</v>
      </c>
      <c r="G16" s="11" t="s">
        <v>14</v>
      </c>
      <c r="H16" s="11" t="s">
        <v>14</v>
      </c>
      <c r="I16" s="11" t="s">
        <v>14</v>
      </c>
      <c r="J16" s="11" t="s">
        <v>14</v>
      </c>
      <c r="K16" s="11"/>
    </row>
    <row r="17">
      <c r="A17" s="9" t="s">
        <v>57</v>
      </c>
      <c r="B17" s="9" t="s">
        <v>58</v>
      </c>
      <c r="C17" s="10" t="s">
        <v>59</v>
      </c>
      <c r="D17" s="11" t="s">
        <v>14</v>
      </c>
      <c r="E17" s="12">
        <v>0.0019269124496703708</v>
      </c>
      <c r="F17" s="13">
        <v>4801.0</v>
      </c>
      <c r="G17" s="11" t="s">
        <v>14</v>
      </c>
      <c r="H17" s="11" t="s">
        <v>14</v>
      </c>
      <c r="I17" s="11" t="s">
        <v>14</v>
      </c>
      <c r="J17" s="11" t="s">
        <v>14</v>
      </c>
      <c r="K17" s="11"/>
    </row>
    <row r="18">
      <c r="A18" s="9" t="s">
        <v>60</v>
      </c>
      <c r="B18" s="9" t="s">
        <v>61</v>
      </c>
      <c r="C18" s="10" t="s">
        <v>62</v>
      </c>
      <c r="D18" s="11" t="s">
        <v>14</v>
      </c>
      <c r="E18" s="12">
        <v>0.0018322073341366122</v>
      </c>
      <c r="F18" s="13">
        <v>31787.0</v>
      </c>
      <c r="G18" s="11" t="s">
        <v>14</v>
      </c>
      <c r="H18" s="11" t="s">
        <v>14</v>
      </c>
      <c r="I18" s="11" t="s">
        <v>14</v>
      </c>
      <c r="J18" s="11" t="s">
        <v>14</v>
      </c>
      <c r="K18" s="11"/>
    </row>
    <row r="19">
      <c r="A19" s="9" t="s">
        <v>63</v>
      </c>
      <c r="B19" s="9" t="s">
        <v>64</v>
      </c>
      <c r="C19" s="10" t="s">
        <v>65</v>
      </c>
      <c r="D19" s="11" t="s">
        <v>14</v>
      </c>
      <c r="E19" s="12">
        <v>0.001467804083128432</v>
      </c>
      <c r="F19" s="13">
        <v>1511945.0</v>
      </c>
      <c r="G19" s="11" t="s">
        <v>14</v>
      </c>
      <c r="H19" s="11" t="s">
        <v>14</v>
      </c>
      <c r="I19" s="11" t="s">
        <v>14</v>
      </c>
      <c r="J19" s="11" t="s">
        <v>14</v>
      </c>
      <c r="K19" s="11"/>
    </row>
    <row r="20">
      <c r="A20" s="9" t="s">
        <v>66</v>
      </c>
      <c r="B20" s="9" t="s">
        <v>67</v>
      </c>
      <c r="C20" s="10" t="s">
        <v>68</v>
      </c>
      <c r="D20" s="11" t="s">
        <v>14</v>
      </c>
      <c r="E20" s="12">
        <v>0.001467804083128432</v>
      </c>
      <c r="F20" s="13">
        <v>4756.0</v>
      </c>
      <c r="G20" s="11" t="s">
        <v>14</v>
      </c>
      <c r="H20" s="11" t="s">
        <v>14</v>
      </c>
      <c r="I20" s="11" t="s">
        <v>14</v>
      </c>
      <c r="J20" s="11" t="s">
        <v>14</v>
      </c>
      <c r="K20" s="11"/>
    </row>
    <row r="21">
      <c r="A21" s="9" t="s">
        <v>69</v>
      </c>
      <c r="B21" s="9" t="s">
        <v>70</v>
      </c>
      <c r="C21" s="10" t="s">
        <v>71</v>
      </c>
      <c r="D21" s="11" t="s">
        <v>14</v>
      </c>
      <c r="E21" s="12">
        <v>0.001467804083128432</v>
      </c>
      <c r="F21" s="13">
        <v>449484.0</v>
      </c>
      <c r="G21" s="11" t="s">
        <v>14</v>
      </c>
      <c r="H21" s="11" t="s">
        <v>14</v>
      </c>
      <c r="I21" s="11" t="s">
        <v>14</v>
      </c>
      <c r="J21" s="11" t="s">
        <v>14</v>
      </c>
      <c r="K21" s="11"/>
    </row>
    <row r="22">
      <c r="A22" s="9" t="s">
        <v>72</v>
      </c>
      <c r="B22" s="9" t="s">
        <v>73</v>
      </c>
      <c r="C22" s="10" t="s">
        <v>74</v>
      </c>
      <c r="D22" s="11" t="s">
        <v>14</v>
      </c>
      <c r="E22" s="12">
        <v>0.001467804083128432</v>
      </c>
      <c r="F22" s="13">
        <v>150505.0</v>
      </c>
      <c r="G22" s="11" t="s">
        <v>14</v>
      </c>
      <c r="H22" s="11" t="s">
        <v>14</v>
      </c>
      <c r="I22" s="11" t="s">
        <v>14</v>
      </c>
      <c r="J22" s="11" t="s">
        <v>14</v>
      </c>
      <c r="K22" s="11"/>
    </row>
    <row r="23">
      <c r="A23" s="9" t="s">
        <v>75</v>
      </c>
      <c r="B23" s="9" t="s">
        <v>76</v>
      </c>
      <c r="C23" s="10" t="s">
        <v>77</v>
      </c>
      <c r="D23" s="11" t="s">
        <v>14</v>
      </c>
      <c r="E23" s="12">
        <v>0.001467804083128432</v>
      </c>
      <c r="F23" s="13">
        <v>6469.0</v>
      </c>
      <c r="G23" s="11" t="s">
        <v>14</v>
      </c>
      <c r="H23" s="11" t="s">
        <v>14</v>
      </c>
      <c r="I23" s="11" t="s">
        <v>14</v>
      </c>
      <c r="J23" s="11" t="s">
        <v>14</v>
      </c>
      <c r="K23" s="11" t="s">
        <v>14</v>
      </c>
    </row>
    <row r="24">
      <c r="A24" s="9" t="s">
        <v>78</v>
      </c>
      <c r="B24" s="9" t="s">
        <v>79</v>
      </c>
      <c r="C24" s="10" t="s">
        <v>80</v>
      </c>
      <c r="D24" s="11" t="s">
        <v>14</v>
      </c>
      <c r="E24" s="12">
        <v>0.001467804083128432</v>
      </c>
      <c r="F24" s="13">
        <v>51628.0</v>
      </c>
      <c r="G24" s="11" t="s">
        <v>14</v>
      </c>
      <c r="H24" s="11" t="s">
        <v>14</v>
      </c>
      <c r="I24" s="11" t="s">
        <v>14</v>
      </c>
      <c r="J24" s="11" t="s">
        <v>14</v>
      </c>
      <c r="K24" s="11" t="s">
        <v>14</v>
      </c>
    </row>
    <row r="25">
      <c r="A25" s="9" t="s">
        <v>81</v>
      </c>
      <c r="B25" s="9" t="s">
        <v>82</v>
      </c>
      <c r="C25" s="10" t="s">
        <v>83</v>
      </c>
      <c r="D25" s="11" t="s">
        <v>14</v>
      </c>
      <c r="E25" s="12">
        <v>0.0011787770242884705</v>
      </c>
      <c r="F25" s="13">
        <v>103626.0</v>
      </c>
      <c r="G25" s="11" t="s">
        <v>14</v>
      </c>
      <c r="H25" s="11" t="s">
        <v>14</v>
      </c>
      <c r="I25" s="11" t="s">
        <v>14</v>
      </c>
      <c r="J25" s="11" t="s">
        <v>14</v>
      </c>
      <c r="K25" s="11" t="s">
        <v>14</v>
      </c>
    </row>
    <row r="26">
      <c r="A26" s="9" t="s">
        <v>84</v>
      </c>
      <c r="B26" s="9" t="s">
        <v>85</v>
      </c>
      <c r="C26" s="10" t="s">
        <v>86</v>
      </c>
      <c r="D26" s="11" t="s">
        <v>14</v>
      </c>
      <c r="E26" s="12">
        <v>0.0010535192171287249</v>
      </c>
      <c r="F26" s="13">
        <v>70121.0</v>
      </c>
      <c r="G26" s="11" t="s">
        <v>14</v>
      </c>
      <c r="H26" s="11" t="s">
        <v>14</v>
      </c>
      <c r="I26" s="11" t="s">
        <v>14</v>
      </c>
      <c r="J26" s="11" t="s">
        <v>14</v>
      </c>
      <c r="K26" s="11" t="s">
        <v>14</v>
      </c>
    </row>
    <row r="27">
      <c r="A27" s="9" t="s">
        <v>87</v>
      </c>
      <c r="B27" s="9" t="s">
        <v>88</v>
      </c>
      <c r="C27" s="10" t="s">
        <v>89</v>
      </c>
      <c r="D27" s="11" t="s">
        <v>14</v>
      </c>
      <c r="E27" s="12">
        <v>0.0010535192171287249</v>
      </c>
      <c r="F27" s="13">
        <v>49490.0</v>
      </c>
      <c r="G27" s="11" t="s">
        <v>14</v>
      </c>
      <c r="H27" s="11" t="s">
        <v>14</v>
      </c>
      <c r="I27" s="11" t="s">
        <v>14</v>
      </c>
      <c r="J27" s="11" t="s">
        <v>14</v>
      </c>
      <c r="K27" s="11" t="s">
        <v>14</v>
      </c>
    </row>
    <row r="28">
      <c r="A28" s="9" t="s">
        <v>90</v>
      </c>
      <c r="B28" s="9" t="s">
        <v>91</v>
      </c>
      <c r="C28" s="10" t="s">
        <v>92</v>
      </c>
      <c r="D28" s="11" t="s">
        <v>14</v>
      </c>
      <c r="E28" s="12">
        <v>9.627909121010884E-4</v>
      </c>
      <c r="F28" s="13">
        <v>4857.0</v>
      </c>
      <c r="G28" s="11" t="s">
        <v>14</v>
      </c>
      <c r="H28" s="11" t="s">
        <v>14</v>
      </c>
      <c r="I28" s="11" t="s">
        <v>14</v>
      </c>
      <c r="J28" s="11" t="s">
        <v>14</v>
      </c>
      <c r="K28" s="11" t="s">
        <v>14</v>
      </c>
    </row>
    <row r="29">
      <c r="A29" s="9" t="s">
        <v>93</v>
      </c>
      <c r="B29" s="9" t="s">
        <v>94</v>
      </c>
      <c r="C29" s="10" t="s">
        <v>95</v>
      </c>
      <c r="D29" s="11" t="s">
        <v>14</v>
      </c>
      <c r="E29" s="12">
        <v>8.452842640885149E-4</v>
      </c>
      <c r="F29" s="13">
        <v>16313.0</v>
      </c>
      <c r="G29" s="11" t="s">
        <v>14</v>
      </c>
      <c r="H29" s="11" t="s">
        <v>14</v>
      </c>
      <c r="I29" s="11" t="s">
        <v>14</v>
      </c>
      <c r="J29" s="11" t="s">
        <v>14</v>
      </c>
      <c r="K29" s="11" t="s">
        <v>14</v>
      </c>
    </row>
    <row r="30">
      <c r="A30" s="9" t="s">
        <v>96</v>
      </c>
      <c r="B30" s="9" t="s">
        <v>97</v>
      </c>
      <c r="C30" s="10" t="s">
        <v>98</v>
      </c>
      <c r="D30" s="11" t="s">
        <v>14</v>
      </c>
      <c r="E30" s="12">
        <v>8.289021635874644E-4</v>
      </c>
      <c r="F30" s="13">
        <v>14737.0</v>
      </c>
      <c r="G30" s="11" t="s">
        <v>14</v>
      </c>
      <c r="H30" s="11" t="s">
        <v>14</v>
      </c>
      <c r="I30" s="11" t="s">
        <v>14</v>
      </c>
      <c r="J30" s="11" t="s">
        <v>14</v>
      </c>
      <c r="K30" s="11" t="s">
        <v>14</v>
      </c>
    </row>
    <row r="31">
      <c r="A31" s="9" t="s">
        <v>99</v>
      </c>
      <c r="B31" s="9" t="s">
        <v>100</v>
      </c>
      <c r="C31" s="10" t="s">
        <v>101</v>
      </c>
      <c r="D31" s="11" t="s">
        <v>14</v>
      </c>
      <c r="E31" s="12">
        <v>7.934076125018551E-4</v>
      </c>
      <c r="F31" s="13">
        <v>12145.0</v>
      </c>
      <c r="G31" s="11" t="s">
        <v>14</v>
      </c>
      <c r="H31" s="11" t="s">
        <v>14</v>
      </c>
      <c r="I31" s="11" t="s">
        <v>14</v>
      </c>
      <c r="J31" s="11" t="s">
        <v>14</v>
      </c>
      <c r="K31" s="11" t="s">
        <v>14</v>
      </c>
    </row>
    <row r="32">
      <c r="A32" s="9" t="s">
        <v>102</v>
      </c>
      <c r="B32" s="9" t="s">
        <v>103</v>
      </c>
      <c r="C32" s="10" t="s">
        <v>104</v>
      </c>
      <c r="D32" s="11" t="s">
        <v>14</v>
      </c>
      <c r="E32" s="12">
        <v>7.934076125018551E-4</v>
      </c>
      <c r="F32" s="13">
        <v>2034.0</v>
      </c>
      <c r="G32" s="11" t="s">
        <v>14</v>
      </c>
      <c r="H32" s="11" t="s">
        <v>14</v>
      </c>
      <c r="I32" s="11" t="s">
        <v>14</v>
      </c>
      <c r="J32" s="11" t="s">
        <v>14</v>
      </c>
      <c r="K32" s="11" t="s">
        <v>14</v>
      </c>
    </row>
    <row r="33">
      <c r="A33" s="9" t="s">
        <v>105</v>
      </c>
      <c r="B33" s="9" t="s">
        <v>106</v>
      </c>
      <c r="C33" s="10" t="s">
        <v>107</v>
      </c>
      <c r="D33" s="11" t="s">
        <v>14</v>
      </c>
      <c r="E33" s="12">
        <v>7.934076125018551E-4</v>
      </c>
      <c r="F33" s="13">
        <v>15134.0</v>
      </c>
      <c r="G33" s="11" t="s">
        <v>14</v>
      </c>
      <c r="H33" s="11" t="s">
        <v>14</v>
      </c>
      <c r="I33" s="11" t="s">
        <v>14</v>
      </c>
      <c r="J33" s="11" t="s">
        <v>14</v>
      </c>
      <c r="K33" s="11" t="s">
        <v>14</v>
      </c>
    </row>
    <row r="34">
      <c r="A34" s="9" t="s">
        <v>108</v>
      </c>
      <c r="B34" s="9" t="s">
        <v>109</v>
      </c>
      <c r="C34" s="10" t="s">
        <v>110</v>
      </c>
      <c r="D34" s="11" t="s">
        <v>14</v>
      </c>
      <c r="E34" s="12">
        <v>7.934076125018551E-4</v>
      </c>
      <c r="F34" s="13">
        <v>8377.0</v>
      </c>
      <c r="G34" s="11" t="s">
        <v>14</v>
      </c>
      <c r="H34" s="11" t="s">
        <v>14</v>
      </c>
      <c r="I34" s="11" t="s">
        <v>14</v>
      </c>
      <c r="J34" s="11" t="s">
        <v>14</v>
      </c>
      <c r="K34" s="11" t="s">
        <v>14</v>
      </c>
    </row>
    <row r="35">
      <c r="A35" s="9" t="s">
        <v>111</v>
      </c>
      <c r="B35" s="9" t="s">
        <v>112</v>
      </c>
      <c r="C35" s="10" t="s">
        <v>113</v>
      </c>
      <c r="D35" s="11" t="s">
        <v>14</v>
      </c>
      <c r="E35" s="12">
        <v>7.934076125018551E-4</v>
      </c>
      <c r="F35" s="13">
        <v>1395.0</v>
      </c>
      <c r="G35" s="11" t="s">
        <v>14</v>
      </c>
      <c r="H35" s="11" t="s">
        <v>14</v>
      </c>
      <c r="I35" s="11" t="s">
        <v>14</v>
      </c>
      <c r="J35" s="11" t="s">
        <v>14</v>
      </c>
      <c r="K35" s="11" t="s">
        <v>14</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25"/>
    <col customWidth="1" min="3" max="3" width="54.0"/>
    <col customWidth="1" min="4" max="4" width="97.0"/>
  </cols>
  <sheetData>
    <row r="1">
      <c r="A1" s="5" t="s">
        <v>114</v>
      </c>
      <c r="B1" s="5" t="s">
        <v>115</v>
      </c>
      <c r="C1" s="5"/>
      <c r="D1" s="5"/>
    </row>
    <row r="2">
      <c r="A2" s="14" t="s">
        <v>116</v>
      </c>
      <c r="B2" s="12">
        <v>339.0</v>
      </c>
      <c r="C2" s="9" t="str">
        <f t="shared" ref="C2:C29" si="1">CONCAT(A2," OR ")</f>
        <v>finanças OR </v>
      </c>
      <c r="D2" s="10" t="str">
        <f>CONCATENATE(C2:C30)</f>
        <v>finanças OR economia OR liberdadefinanceira OR financaspessoais OR financas OR economedicos OR dinheiro OR investimentos OR empreendedorismo OR empreendedor OR rendaextra OR vendermais OR organizacaofinanceira OR vendedor OR rendaextraemcasa OR mercadofinanceiro OR prosperidadefinanceira OR prosperidade OR macroeconomia OR investimento OR derivativos OR mercadodeopções OR bitcoin OR planejamentofinanceiro OR mercadofuturo OR impostoderenda OR bancocentral OR aprendervalor OR ações</v>
      </c>
    </row>
    <row r="3">
      <c r="A3" s="14" t="s">
        <v>117</v>
      </c>
      <c r="B3" s="12">
        <v>211.0</v>
      </c>
      <c r="C3" s="9" t="str">
        <f t="shared" si="1"/>
        <v>economia OR </v>
      </c>
    </row>
    <row r="4">
      <c r="A4" s="14" t="s">
        <v>118</v>
      </c>
      <c r="B4" s="12">
        <v>206.0</v>
      </c>
      <c r="C4" s="9" t="str">
        <f t="shared" si="1"/>
        <v>liberdadefinanceira OR </v>
      </c>
    </row>
    <row r="5">
      <c r="A5" s="15" t="s">
        <v>119</v>
      </c>
      <c r="B5" s="12">
        <v>184.0</v>
      </c>
      <c r="C5" s="9" t="str">
        <f t="shared" si="1"/>
        <v>financaspessoais OR </v>
      </c>
    </row>
    <row r="6">
      <c r="A6" s="14" t="s">
        <v>120</v>
      </c>
      <c r="B6" s="12">
        <v>166.0</v>
      </c>
      <c r="C6" s="9" t="str">
        <f t="shared" si="1"/>
        <v>financas OR </v>
      </c>
      <c r="D6" s="9"/>
    </row>
    <row r="7">
      <c r="A7" s="9" t="s">
        <v>121</v>
      </c>
      <c r="B7" s="12">
        <v>155.0</v>
      </c>
      <c r="C7" s="9" t="str">
        <f t="shared" si="1"/>
        <v>economedicos OR </v>
      </c>
      <c r="D7" s="9"/>
    </row>
    <row r="8">
      <c r="A8" s="14" t="s">
        <v>122</v>
      </c>
      <c r="B8" s="12">
        <v>133.0</v>
      </c>
      <c r="C8" s="9" t="str">
        <f t="shared" si="1"/>
        <v>dinheiro OR </v>
      </c>
      <c r="D8" s="9"/>
    </row>
    <row r="9">
      <c r="A9" s="15" t="s">
        <v>123</v>
      </c>
      <c r="B9" s="12">
        <v>109.0</v>
      </c>
      <c r="C9" s="9" t="str">
        <f t="shared" si="1"/>
        <v>investimentos OR </v>
      </c>
      <c r="D9" s="9"/>
    </row>
    <row r="10">
      <c r="A10" s="14" t="s">
        <v>124</v>
      </c>
      <c r="B10" s="12">
        <v>95.0</v>
      </c>
      <c r="C10" s="9" t="str">
        <f t="shared" si="1"/>
        <v>empreendedorismo OR </v>
      </c>
      <c r="D10" s="9"/>
    </row>
    <row r="11">
      <c r="A11" s="14" t="s">
        <v>125</v>
      </c>
      <c r="B11" s="12">
        <v>86.0</v>
      </c>
      <c r="C11" s="9" t="str">
        <f t="shared" si="1"/>
        <v>empreendedor OR </v>
      </c>
      <c r="D11" s="9"/>
    </row>
    <row r="12">
      <c r="A12" s="14" t="s">
        <v>126</v>
      </c>
      <c r="B12" s="12">
        <v>80.0</v>
      </c>
      <c r="C12" s="9" t="str">
        <f t="shared" si="1"/>
        <v>rendaextra OR </v>
      </c>
      <c r="D12" s="9"/>
    </row>
    <row r="13">
      <c r="A13" s="14" t="s">
        <v>127</v>
      </c>
      <c r="B13" s="12">
        <v>78.0</v>
      </c>
      <c r="C13" s="9" t="str">
        <f t="shared" si="1"/>
        <v>vendermais OR </v>
      </c>
      <c r="D13" s="9"/>
    </row>
    <row r="14">
      <c r="A14" s="14" t="s">
        <v>128</v>
      </c>
      <c r="B14" s="12">
        <v>76.0</v>
      </c>
      <c r="C14" s="9" t="str">
        <f t="shared" si="1"/>
        <v>organizacaofinanceira OR </v>
      </c>
      <c r="D14" s="9"/>
    </row>
    <row r="15">
      <c r="A15" s="14" t="s">
        <v>129</v>
      </c>
      <c r="B15" s="12">
        <v>76.0</v>
      </c>
      <c r="C15" s="9" t="str">
        <f t="shared" si="1"/>
        <v>vendedor OR </v>
      </c>
      <c r="D15" s="9"/>
    </row>
    <row r="16">
      <c r="A16" s="14" t="s">
        <v>130</v>
      </c>
      <c r="B16" s="12">
        <v>73.0</v>
      </c>
      <c r="C16" s="9" t="str">
        <f t="shared" si="1"/>
        <v>rendaextraemcasa OR </v>
      </c>
      <c r="D16" s="9"/>
    </row>
    <row r="17">
      <c r="A17" s="14" t="s">
        <v>131</v>
      </c>
      <c r="B17" s="12">
        <v>66.0</v>
      </c>
      <c r="C17" s="9" t="str">
        <f t="shared" si="1"/>
        <v>mercadofinanceiro OR </v>
      </c>
      <c r="D17" s="9"/>
    </row>
    <row r="18">
      <c r="A18" s="14" t="s">
        <v>132</v>
      </c>
      <c r="B18" s="12">
        <v>44.0</v>
      </c>
      <c r="C18" s="9" t="str">
        <f t="shared" si="1"/>
        <v>prosperidadefinanceira OR </v>
      </c>
      <c r="D18" s="9"/>
    </row>
    <row r="19">
      <c r="A19" s="14" t="s">
        <v>133</v>
      </c>
      <c r="B19" s="12">
        <v>41.0</v>
      </c>
      <c r="C19" s="9" t="str">
        <f t="shared" si="1"/>
        <v>prosperidade OR </v>
      </c>
      <c r="D19" s="9"/>
    </row>
    <row r="20">
      <c r="A20" s="14" t="s">
        <v>134</v>
      </c>
      <c r="B20" s="12">
        <v>38.0</v>
      </c>
      <c r="C20" s="9" t="str">
        <f t="shared" si="1"/>
        <v>macroeconomia OR </v>
      </c>
      <c r="D20" s="9"/>
    </row>
    <row r="21">
      <c r="A21" s="15" t="s">
        <v>135</v>
      </c>
      <c r="B21" s="12">
        <v>33.0</v>
      </c>
      <c r="C21" s="9" t="str">
        <f t="shared" si="1"/>
        <v>investimento OR </v>
      </c>
      <c r="D21" s="9"/>
    </row>
    <row r="22">
      <c r="A22" s="14" t="s">
        <v>136</v>
      </c>
      <c r="B22" s="12">
        <v>32.0</v>
      </c>
      <c r="C22" s="9" t="str">
        <f t="shared" si="1"/>
        <v>derivativos OR </v>
      </c>
      <c r="D22" s="9"/>
    </row>
    <row r="23">
      <c r="A23" s="14" t="s">
        <v>137</v>
      </c>
      <c r="B23" s="12">
        <v>32.0</v>
      </c>
      <c r="C23" s="9" t="str">
        <f t="shared" si="1"/>
        <v>mercadodeopções OR </v>
      </c>
      <c r="D23" s="9"/>
    </row>
    <row r="24">
      <c r="A24" s="9" t="s">
        <v>138</v>
      </c>
      <c r="B24" s="12">
        <v>31.0</v>
      </c>
      <c r="C24" s="9" t="str">
        <f t="shared" si="1"/>
        <v>bitcoin OR </v>
      </c>
      <c r="D24" s="9"/>
    </row>
    <row r="25">
      <c r="A25" s="14" t="s">
        <v>139</v>
      </c>
      <c r="B25" s="12">
        <v>28.0</v>
      </c>
      <c r="C25" s="9" t="str">
        <f t="shared" si="1"/>
        <v>planejamentofinanceiro OR </v>
      </c>
      <c r="D25" s="9"/>
    </row>
    <row r="26">
      <c r="A26" s="14" t="s">
        <v>140</v>
      </c>
      <c r="B26" s="12">
        <v>21.0</v>
      </c>
      <c r="C26" s="9" t="str">
        <f t="shared" si="1"/>
        <v>mercadofuturo OR </v>
      </c>
      <c r="D26" s="9"/>
    </row>
    <row r="27">
      <c r="A27" s="9" t="s">
        <v>141</v>
      </c>
      <c r="B27" s="12">
        <v>20.0</v>
      </c>
      <c r="C27" s="9" t="str">
        <f t="shared" si="1"/>
        <v>impostoderenda OR </v>
      </c>
      <c r="D27" s="9"/>
    </row>
    <row r="28">
      <c r="A28" s="9" t="s">
        <v>142</v>
      </c>
      <c r="B28" s="12">
        <v>18.0</v>
      </c>
      <c r="C28" s="9" t="str">
        <f t="shared" si="1"/>
        <v>bancocentral OR </v>
      </c>
      <c r="D28" s="9"/>
    </row>
    <row r="29">
      <c r="A29" s="14" t="s">
        <v>143</v>
      </c>
      <c r="B29" s="12">
        <v>16.0</v>
      </c>
      <c r="C29" s="9" t="str">
        <f t="shared" si="1"/>
        <v>aprendervalor OR </v>
      </c>
      <c r="D29" s="9"/>
    </row>
    <row r="30">
      <c r="A30" s="14" t="s">
        <v>144</v>
      </c>
      <c r="B30" s="12">
        <v>16.0</v>
      </c>
      <c r="C30" s="9" t="str">
        <f>A30</f>
        <v>ações</v>
      </c>
      <c r="D30" s="9"/>
    </row>
  </sheetData>
  <mergeCells count="1">
    <mergeCell ref="D2:D5"/>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49.25"/>
    <col customWidth="1" min="4" max="4" width="14.38"/>
    <col customWidth="1" min="5" max="5" width="12.25"/>
  </cols>
  <sheetData>
    <row r="1">
      <c r="A1" s="5" t="s">
        <v>0</v>
      </c>
      <c r="B1" s="5" t="s">
        <v>1</v>
      </c>
      <c r="C1" s="6" t="s">
        <v>2</v>
      </c>
      <c r="D1" s="5" t="s">
        <v>4</v>
      </c>
      <c r="E1" s="8" t="s">
        <v>5</v>
      </c>
      <c r="F1" s="7" t="s">
        <v>7</v>
      </c>
      <c r="G1" s="7" t="s">
        <v>8</v>
      </c>
      <c r="H1" s="7" t="s">
        <v>6</v>
      </c>
      <c r="I1" s="7" t="s">
        <v>3</v>
      </c>
      <c r="J1" s="7" t="s">
        <v>9</v>
      </c>
      <c r="K1" s="7" t="s">
        <v>10</v>
      </c>
    </row>
    <row r="2">
      <c r="A2" s="9" t="s">
        <v>145</v>
      </c>
      <c r="B2" s="9" t="s">
        <v>146</v>
      </c>
      <c r="C2" s="10" t="s">
        <v>147</v>
      </c>
      <c r="D2" s="12">
        <v>0.05564432055679678</v>
      </c>
      <c r="E2" s="13">
        <v>352.0</v>
      </c>
      <c r="F2" s="16"/>
      <c r="G2" s="11" t="s">
        <v>148</v>
      </c>
      <c r="H2" s="16"/>
      <c r="I2" s="16"/>
      <c r="J2" s="16"/>
      <c r="K2" s="16"/>
    </row>
    <row r="3">
      <c r="A3" s="9" t="s">
        <v>11</v>
      </c>
      <c r="B3" s="9" t="s">
        <v>12</v>
      </c>
      <c r="C3" s="10" t="s">
        <v>13</v>
      </c>
      <c r="D3" s="12">
        <v>0.015180532319202158</v>
      </c>
      <c r="E3" s="13">
        <v>6787.0</v>
      </c>
      <c r="F3" s="11" t="s">
        <v>14</v>
      </c>
      <c r="G3" s="11" t="s">
        <v>14</v>
      </c>
      <c r="H3" s="11" t="s">
        <v>14</v>
      </c>
      <c r="I3" s="11" t="s">
        <v>14</v>
      </c>
      <c r="J3" s="11"/>
      <c r="K3" s="11"/>
    </row>
    <row r="4">
      <c r="A4" s="17" t="s">
        <v>149</v>
      </c>
      <c r="B4" s="17" t="s">
        <v>150</v>
      </c>
      <c r="C4" s="18" t="s">
        <v>151</v>
      </c>
      <c r="D4" s="19">
        <v>0.01225814761315366</v>
      </c>
      <c r="E4" s="20">
        <v>7.9254714E7</v>
      </c>
      <c r="F4" s="21"/>
      <c r="G4" s="22" t="s">
        <v>14</v>
      </c>
      <c r="H4" s="21"/>
      <c r="I4" s="22" t="s">
        <v>148</v>
      </c>
      <c r="J4" s="22"/>
      <c r="K4" s="22"/>
    </row>
    <row r="5">
      <c r="A5" s="9" t="s">
        <v>152</v>
      </c>
      <c r="B5" s="9" t="s">
        <v>153</v>
      </c>
      <c r="C5" s="10" t="s">
        <v>154</v>
      </c>
      <c r="D5" s="12">
        <v>0.009785360554189547</v>
      </c>
      <c r="E5" s="13">
        <v>3693.0</v>
      </c>
      <c r="F5" s="11" t="s">
        <v>14</v>
      </c>
      <c r="G5" s="11" t="s">
        <v>14</v>
      </c>
      <c r="H5" s="23"/>
      <c r="I5" s="11" t="s">
        <v>148</v>
      </c>
      <c r="J5" s="11"/>
      <c r="K5" s="11"/>
    </row>
    <row r="6">
      <c r="A6" s="9" t="s">
        <v>155</v>
      </c>
      <c r="B6" s="9" t="s">
        <v>156</v>
      </c>
      <c r="C6" s="10" t="s">
        <v>157</v>
      </c>
      <c r="D6" s="12">
        <v>0.009785360554189547</v>
      </c>
      <c r="E6" s="13">
        <v>228.0</v>
      </c>
      <c r="F6" s="16"/>
      <c r="G6" s="11" t="s">
        <v>148</v>
      </c>
      <c r="H6" s="16"/>
      <c r="I6" s="16"/>
      <c r="J6" s="16"/>
      <c r="K6" s="16"/>
    </row>
    <row r="7">
      <c r="A7" s="9" t="s">
        <v>15</v>
      </c>
      <c r="B7" s="9" t="s">
        <v>16</v>
      </c>
      <c r="C7" s="10" t="s">
        <v>17</v>
      </c>
      <c r="D7" s="12">
        <v>0.009764449035720508</v>
      </c>
      <c r="E7" s="13">
        <v>280799.0</v>
      </c>
      <c r="F7" s="11" t="s">
        <v>14</v>
      </c>
      <c r="G7" s="11" t="s">
        <v>14</v>
      </c>
      <c r="H7" s="11" t="s">
        <v>14</v>
      </c>
      <c r="I7" s="11" t="s">
        <v>14</v>
      </c>
      <c r="J7" s="11"/>
      <c r="K7" s="11"/>
    </row>
    <row r="8">
      <c r="A8" s="9" t="s">
        <v>18</v>
      </c>
      <c r="B8" s="9" t="s">
        <v>19</v>
      </c>
      <c r="C8" s="10" t="s">
        <v>20</v>
      </c>
      <c r="D8" s="12">
        <v>0.008886165260020779</v>
      </c>
      <c r="E8" s="13">
        <v>106538.0</v>
      </c>
      <c r="F8" s="11" t="s">
        <v>14</v>
      </c>
      <c r="G8" s="11" t="s">
        <v>14</v>
      </c>
      <c r="H8" s="11" t="s">
        <v>14</v>
      </c>
      <c r="I8" s="11" t="s">
        <v>14</v>
      </c>
      <c r="J8" s="11"/>
      <c r="K8" s="11"/>
    </row>
    <row r="9">
      <c r="A9" s="9" t="s">
        <v>158</v>
      </c>
      <c r="B9" s="9" t="s">
        <v>159</v>
      </c>
      <c r="C9" s="10" t="s">
        <v>160</v>
      </c>
      <c r="D9" s="12">
        <v>0.007719641635127695</v>
      </c>
      <c r="E9" s="13">
        <v>107.0</v>
      </c>
      <c r="F9" s="16"/>
      <c r="G9" s="11" t="s">
        <v>148</v>
      </c>
      <c r="H9" s="16"/>
      <c r="I9" s="16"/>
      <c r="J9" s="16"/>
      <c r="K9" s="16"/>
    </row>
    <row r="10">
      <c r="A10" s="9" t="s">
        <v>161</v>
      </c>
      <c r="B10" s="9" t="s">
        <v>162</v>
      </c>
      <c r="C10" s="10" t="s">
        <v>163</v>
      </c>
      <c r="D10" s="12">
        <v>0.007355103002352074</v>
      </c>
      <c r="E10" s="13">
        <v>472.0</v>
      </c>
      <c r="F10" s="16"/>
      <c r="G10" s="11" t="s">
        <v>148</v>
      </c>
      <c r="H10" s="16"/>
      <c r="I10" s="16"/>
      <c r="J10" s="16"/>
      <c r="K10" s="16"/>
    </row>
    <row r="11">
      <c r="A11" s="9" t="s">
        <v>21</v>
      </c>
      <c r="B11" s="9" t="s">
        <v>22</v>
      </c>
      <c r="C11" s="10" t="s">
        <v>23</v>
      </c>
      <c r="D11" s="12">
        <v>0.006493832516850711</v>
      </c>
      <c r="E11" s="13">
        <v>598436.0</v>
      </c>
      <c r="F11" s="11" t="s">
        <v>14</v>
      </c>
      <c r="G11" s="11" t="s">
        <v>14</v>
      </c>
      <c r="H11" s="11" t="s">
        <v>14</v>
      </c>
      <c r="I11" s="11" t="s">
        <v>14</v>
      </c>
      <c r="J11" s="11"/>
      <c r="K11" s="11"/>
    </row>
    <row r="12">
      <c r="A12" s="9" t="s">
        <v>24</v>
      </c>
      <c r="B12" s="9" t="s">
        <v>25</v>
      </c>
      <c r="C12" s="10" t="s">
        <v>26</v>
      </c>
      <c r="D12" s="12">
        <v>0.006418606080673922</v>
      </c>
      <c r="E12" s="13">
        <v>16260.0</v>
      </c>
      <c r="F12" s="11" t="s">
        <v>14</v>
      </c>
      <c r="G12" s="11" t="s">
        <v>14</v>
      </c>
      <c r="H12" s="11" t="s">
        <v>14</v>
      </c>
      <c r="I12" s="11" t="s">
        <v>14</v>
      </c>
      <c r="J12" s="11"/>
      <c r="K12" s="11"/>
    </row>
    <row r="13">
      <c r="A13" s="9" t="s">
        <v>164</v>
      </c>
      <c r="B13" s="9" t="s">
        <v>165</v>
      </c>
      <c r="C13" s="10" t="s">
        <v>166</v>
      </c>
      <c r="D13" s="12">
        <v>0.0052893840833457</v>
      </c>
      <c r="E13" s="13">
        <v>9.0</v>
      </c>
      <c r="F13" s="16"/>
      <c r="G13" s="11" t="s">
        <v>148</v>
      </c>
      <c r="H13" s="16"/>
      <c r="I13" s="16"/>
      <c r="J13" s="16"/>
      <c r="K13" s="16"/>
    </row>
    <row r="14">
      <c r="A14" s="24" t="s">
        <v>167</v>
      </c>
      <c r="B14" s="24" t="s">
        <v>168</v>
      </c>
      <c r="C14" s="25" t="s">
        <v>169</v>
      </c>
      <c r="D14" s="26">
        <v>0.0052893840833457</v>
      </c>
      <c r="E14" s="27">
        <v>4370.0</v>
      </c>
      <c r="F14" s="28"/>
      <c r="G14" s="29" t="s">
        <v>14</v>
      </c>
      <c r="H14" s="28"/>
      <c r="I14" s="22" t="s">
        <v>148</v>
      </c>
      <c r="J14" s="22"/>
      <c r="K14" s="22"/>
    </row>
    <row r="15">
      <c r="A15" s="9" t="s">
        <v>170</v>
      </c>
      <c r="B15" s="9" t="s">
        <v>171</v>
      </c>
      <c r="C15" s="10" t="s">
        <v>172</v>
      </c>
      <c r="D15" s="12">
        <v>0.0052893840833457</v>
      </c>
      <c r="E15" s="13">
        <v>1.0</v>
      </c>
      <c r="F15" s="16"/>
      <c r="G15" s="11" t="s">
        <v>148</v>
      </c>
      <c r="H15" s="16"/>
      <c r="I15" s="16"/>
      <c r="J15" s="16"/>
      <c r="K15" s="16"/>
    </row>
    <row r="16">
      <c r="A16" s="9" t="s">
        <v>173</v>
      </c>
      <c r="B16" s="9" t="s">
        <v>174</v>
      </c>
      <c r="C16" s="10" t="s">
        <v>175</v>
      </c>
      <c r="D16" s="12">
        <v>0.0052893840833457</v>
      </c>
      <c r="E16" s="13">
        <v>773.0</v>
      </c>
      <c r="F16" s="16"/>
      <c r="G16" s="11" t="s">
        <v>148</v>
      </c>
      <c r="H16" s="16"/>
      <c r="I16" s="16"/>
      <c r="J16" s="16"/>
      <c r="K16" s="16"/>
    </row>
    <row r="17">
      <c r="A17" s="9" t="s">
        <v>176</v>
      </c>
      <c r="B17" s="9" t="s">
        <v>177</v>
      </c>
      <c r="C17" s="10" t="s">
        <v>178</v>
      </c>
      <c r="D17" s="12">
        <v>0.0052893840833457</v>
      </c>
      <c r="E17" s="13">
        <v>17.0</v>
      </c>
      <c r="F17" s="16"/>
      <c r="G17" s="11" t="s">
        <v>148</v>
      </c>
      <c r="H17" s="16"/>
      <c r="I17" s="16"/>
      <c r="J17" s="16"/>
      <c r="K17" s="16"/>
    </row>
    <row r="18">
      <c r="A18" s="9" t="s">
        <v>179</v>
      </c>
      <c r="B18" s="9" t="s">
        <v>180</v>
      </c>
      <c r="C18" s="10" t="s">
        <v>181</v>
      </c>
      <c r="D18" s="12">
        <v>0.0052893840833457</v>
      </c>
      <c r="E18" s="13">
        <v>1.0</v>
      </c>
      <c r="F18" s="16"/>
      <c r="G18" s="11" t="s">
        <v>148</v>
      </c>
      <c r="H18" s="16"/>
      <c r="I18" s="16"/>
      <c r="J18" s="16"/>
      <c r="K18" s="16"/>
    </row>
    <row r="19">
      <c r="A19" s="9" t="s">
        <v>182</v>
      </c>
      <c r="B19" s="9" t="s">
        <v>183</v>
      </c>
      <c r="C19" s="10" t="s">
        <v>184</v>
      </c>
      <c r="D19" s="12">
        <v>0.0052893840833457</v>
      </c>
      <c r="E19" s="13">
        <v>5.0</v>
      </c>
      <c r="F19" s="16"/>
      <c r="G19" s="11" t="s">
        <v>148</v>
      </c>
      <c r="H19" s="16"/>
      <c r="I19" s="16"/>
      <c r="J19" s="16"/>
      <c r="K19" s="16"/>
    </row>
    <row r="20">
      <c r="A20" s="9" t="s">
        <v>185</v>
      </c>
      <c r="B20" s="9" t="s">
        <v>186</v>
      </c>
      <c r="C20" s="10" t="s">
        <v>187</v>
      </c>
      <c r="D20" s="12">
        <v>0.0052893840833457</v>
      </c>
      <c r="E20" s="13">
        <v>7.0</v>
      </c>
      <c r="F20" s="16"/>
      <c r="G20" s="11" t="s">
        <v>148</v>
      </c>
      <c r="H20" s="16"/>
      <c r="I20" s="16"/>
      <c r="J20" s="16"/>
      <c r="K20" s="16"/>
    </row>
    <row r="21">
      <c r="A21" s="9" t="s">
        <v>188</v>
      </c>
      <c r="B21" s="9" t="s">
        <v>189</v>
      </c>
      <c r="C21" s="10" t="s">
        <v>190</v>
      </c>
      <c r="D21" s="12">
        <v>0.0052893840833457</v>
      </c>
      <c r="E21" s="13">
        <v>20.0</v>
      </c>
      <c r="F21" s="16"/>
      <c r="G21" s="11" t="s">
        <v>148</v>
      </c>
      <c r="H21" s="16"/>
      <c r="I21" s="16"/>
      <c r="J21" s="16"/>
      <c r="K21" s="16"/>
    </row>
    <row r="22">
      <c r="A22" s="9" t="s">
        <v>27</v>
      </c>
      <c r="B22" s="9" t="s">
        <v>28</v>
      </c>
      <c r="C22" s="10" t="s">
        <v>29</v>
      </c>
      <c r="D22" s="12">
        <v>0.0052893840833457</v>
      </c>
      <c r="E22" s="13">
        <v>1802.0</v>
      </c>
      <c r="F22" s="11" t="s">
        <v>14</v>
      </c>
      <c r="G22" s="11" t="s">
        <v>14</v>
      </c>
      <c r="H22" s="11" t="s">
        <v>14</v>
      </c>
      <c r="I22" s="11" t="s">
        <v>14</v>
      </c>
      <c r="J22" s="11"/>
      <c r="K22" s="11"/>
    </row>
    <row r="23">
      <c r="A23" s="9" t="s">
        <v>191</v>
      </c>
      <c r="B23" s="9" t="s">
        <v>192</v>
      </c>
      <c r="C23" s="10" t="s">
        <v>193</v>
      </c>
      <c r="D23" s="12">
        <v>0.0052893840833457</v>
      </c>
      <c r="E23" s="13">
        <v>236.0</v>
      </c>
      <c r="F23" s="16"/>
      <c r="G23" s="11" t="s">
        <v>148</v>
      </c>
      <c r="H23" s="16"/>
      <c r="I23" s="16"/>
      <c r="J23" s="16"/>
      <c r="K23" s="16"/>
    </row>
    <row r="24">
      <c r="A24" s="9" t="s">
        <v>194</v>
      </c>
      <c r="B24" s="9" t="s">
        <v>195</v>
      </c>
      <c r="C24" s="10" t="s">
        <v>196</v>
      </c>
      <c r="D24" s="12">
        <v>0.0052893840833457</v>
      </c>
      <c r="E24" s="13">
        <v>29.0</v>
      </c>
      <c r="F24" s="16"/>
      <c r="G24" s="11" t="s">
        <v>148</v>
      </c>
      <c r="H24" s="16"/>
      <c r="I24" s="16"/>
      <c r="J24" s="16"/>
      <c r="K24" s="16"/>
    </row>
    <row r="25">
      <c r="A25" s="9" t="s">
        <v>197</v>
      </c>
      <c r="B25" s="9" t="s">
        <v>198</v>
      </c>
      <c r="C25" s="10" t="s">
        <v>199</v>
      </c>
      <c r="D25" s="12">
        <v>0.0052893840833457</v>
      </c>
      <c r="E25" s="13">
        <v>319.0</v>
      </c>
      <c r="F25" s="16"/>
      <c r="G25" s="11" t="s">
        <v>148</v>
      </c>
      <c r="H25" s="16"/>
      <c r="I25" s="16"/>
      <c r="J25" s="16"/>
      <c r="K25" s="16"/>
    </row>
    <row r="26">
      <c r="A26" s="9" t="s">
        <v>30</v>
      </c>
      <c r="B26" s="9" t="s">
        <v>31</v>
      </c>
      <c r="C26" s="10" t="s">
        <v>32</v>
      </c>
      <c r="D26" s="12">
        <v>0.0052893840833457</v>
      </c>
      <c r="E26" s="13">
        <v>3111.0</v>
      </c>
      <c r="F26" s="11" t="s">
        <v>14</v>
      </c>
      <c r="G26" s="11" t="s">
        <v>14</v>
      </c>
      <c r="H26" s="11" t="s">
        <v>14</v>
      </c>
      <c r="I26" s="11" t="s">
        <v>14</v>
      </c>
      <c r="J26" s="11"/>
      <c r="K26" s="11"/>
    </row>
    <row r="27">
      <c r="A27" s="9" t="s">
        <v>200</v>
      </c>
      <c r="B27" s="9" t="s">
        <v>201</v>
      </c>
      <c r="C27" s="10" t="s">
        <v>202</v>
      </c>
      <c r="D27" s="12">
        <v>0.0052893840833457</v>
      </c>
      <c r="E27" s="13">
        <v>1329.0</v>
      </c>
      <c r="F27" s="11" t="s">
        <v>14</v>
      </c>
      <c r="G27" s="11" t="s">
        <v>14</v>
      </c>
      <c r="H27" s="23"/>
      <c r="I27" s="11" t="s">
        <v>148</v>
      </c>
      <c r="J27" s="11"/>
      <c r="K27" s="11"/>
    </row>
    <row r="28">
      <c r="A28" s="9" t="s">
        <v>203</v>
      </c>
      <c r="B28" s="9" t="s">
        <v>204</v>
      </c>
      <c r="C28" s="10" t="s">
        <v>205</v>
      </c>
      <c r="D28" s="12">
        <v>0.0052893840833457</v>
      </c>
      <c r="E28" s="13">
        <v>47.0</v>
      </c>
      <c r="F28" s="16"/>
      <c r="G28" s="11" t="s">
        <v>148</v>
      </c>
      <c r="H28" s="16"/>
      <c r="I28" s="16"/>
      <c r="J28" s="16"/>
      <c r="K28" s="16"/>
    </row>
    <row r="29">
      <c r="A29" s="9" t="s">
        <v>206</v>
      </c>
      <c r="B29" s="9" t="s">
        <v>207</v>
      </c>
      <c r="C29" s="10" t="s">
        <v>208</v>
      </c>
      <c r="D29" s="12">
        <v>0.0052893840833457</v>
      </c>
      <c r="E29" s="13">
        <v>3.0</v>
      </c>
      <c r="F29" s="16"/>
      <c r="G29" s="11" t="s">
        <v>148</v>
      </c>
      <c r="H29" s="16"/>
      <c r="I29" s="16"/>
      <c r="J29" s="16"/>
      <c r="K29" s="16"/>
    </row>
    <row r="30">
      <c r="A30" s="9" t="s">
        <v>209</v>
      </c>
      <c r="B30" s="9" t="s">
        <v>210</v>
      </c>
      <c r="C30" s="10" t="s">
        <v>211</v>
      </c>
      <c r="D30" s="12">
        <v>0.0052893840833457</v>
      </c>
      <c r="E30" s="13">
        <v>37.0</v>
      </c>
      <c r="F30" s="16"/>
      <c r="G30" s="11" t="s">
        <v>148</v>
      </c>
      <c r="H30" s="16"/>
      <c r="I30" s="16"/>
      <c r="J30" s="16"/>
      <c r="K30" s="16"/>
    </row>
    <row r="31">
      <c r="A31" s="9" t="s">
        <v>212</v>
      </c>
      <c r="B31" s="9" t="s">
        <v>213</v>
      </c>
      <c r="C31" s="10" t="s">
        <v>214</v>
      </c>
      <c r="D31" s="12">
        <v>0.0052893840833457</v>
      </c>
      <c r="E31" s="13">
        <v>12.0</v>
      </c>
      <c r="F31" s="16"/>
      <c r="G31" s="11" t="s">
        <v>148</v>
      </c>
      <c r="H31" s="16"/>
      <c r="I31" s="16"/>
      <c r="J31" s="16"/>
      <c r="K31" s="16"/>
    </row>
    <row r="32">
      <c r="A32" s="9" t="s">
        <v>215</v>
      </c>
      <c r="B32" s="9" t="s">
        <v>216</v>
      </c>
      <c r="C32" s="10"/>
      <c r="D32" s="12">
        <v>0.0052893840833457</v>
      </c>
      <c r="E32" s="13">
        <v>19.0</v>
      </c>
      <c r="F32" s="16"/>
      <c r="G32" s="11" t="s">
        <v>148</v>
      </c>
      <c r="H32" s="16"/>
      <c r="I32" s="16"/>
      <c r="J32" s="16"/>
      <c r="K32" s="16"/>
    </row>
    <row r="33">
      <c r="A33" s="9" t="s">
        <v>217</v>
      </c>
      <c r="B33" s="9" t="s">
        <v>218</v>
      </c>
      <c r="C33" s="10"/>
      <c r="D33" s="12">
        <v>0.0052893840833457</v>
      </c>
      <c r="E33" s="13">
        <v>16.0</v>
      </c>
      <c r="F33" s="16"/>
      <c r="G33" s="11" t="s">
        <v>148</v>
      </c>
      <c r="H33" s="16"/>
      <c r="I33" s="16"/>
      <c r="J33" s="16"/>
      <c r="K33" s="16"/>
    </row>
    <row r="34">
      <c r="A34" s="9" t="s">
        <v>219</v>
      </c>
      <c r="B34" s="9" t="s">
        <v>220</v>
      </c>
      <c r="C34" s="10" t="s">
        <v>221</v>
      </c>
      <c r="D34" s="12">
        <v>0.0052893840833457</v>
      </c>
      <c r="E34" s="13">
        <v>7.0</v>
      </c>
      <c r="F34" s="16"/>
      <c r="G34" s="11" t="s">
        <v>148</v>
      </c>
      <c r="H34" s="16"/>
      <c r="I34" s="16"/>
      <c r="J34" s="16"/>
      <c r="K34" s="16"/>
    </row>
    <row r="35">
      <c r="A35" s="9" t="s">
        <v>222</v>
      </c>
      <c r="B35" s="9" t="s">
        <v>223</v>
      </c>
      <c r="C35" s="10" t="s">
        <v>224</v>
      </c>
      <c r="D35" s="12">
        <v>0.0052893840833457</v>
      </c>
      <c r="E35" s="13">
        <v>8.0</v>
      </c>
      <c r="F35" s="16"/>
      <c r="G35" s="11" t="s">
        <v>148</v>
      </c>
      <c r="H35" s="16"/>
      <c r="I35" s="16"/>
      <c r="J35" s="16"/>
      <c r="K35" s="16"/>
    </row>
    <row r="36">
      <c r="A36" s="9" t="s">
        <v>225</v>
      </c>
      <c r="B36" s="9" t="s">
        <v>226</v>
      </c>
      <c r="C36" s="10" t="s">
        <v>227</v>
      </c>
      <c r="D36" s="12">
        <v>0.0052893840833457</v>
      </c>
      <c r="E36" s="13">
        <v>112.0</v>
      </c>
      <c r="F36" s="16"/>
      <c r="G36" s="11" t="s">
        <v>148</v>
      </c>
      <c r="H36" s="16"/>
      <c r="I36" s="16"/>
      <c r="J36" s="16"/>
      <c r="K36" s="16"/>
    </row>
    <row r="37">
      <c r="A37" s="9" t="s">
        <v>228</v>
      </c>
      <c r="B37" s="9" t="s">
        <v>229</v>
      </c>
      <c r="C37" s="10" t="s">
        <v>230</v>
      </c>
      <c r="D37" s="12">
        <v>0.0052893840833457</v>
      </c>
      <c r="E37" s="13">
        <v>197.0</v>
      </c>
      <c r="F37" s="16"/>
      <c r="G37" s="11" t="s">
        <v>148</v>
      </c>
      <c r="H37" s="16"/>
      <c r="I37" s="16"/>
      <c r="J37" s="16"/>
      <c r="K37" s="16"/>
    </row>
    <row r="38">
      <c r="A38" s="9" t="s">
        <v>231</v>
      </c>
      <c r="B38" s="9" t="s">
        <v>232</v>
      </c>
      <c r="C38" s="10" t="s">
        <v>233</v>
      </c>
      <c r="D38" s="12">
        <v>0.0052893840833457</v>
      </c>
      <c r="E38" s="13">
        <v>129.0</v>
      </c>
      <c r="F38" s="16"/>
      <c r="G38" s="11" t="s">
        <v>148</v>
      </c>
      <c r="H38" s="16"/>
      <c r="I38" s="16"/>
      <c r="J38" s="16"/>
      <c r="K38" s="16"/>
    </row>
    <row r="39">
      <c r="A39" s="9" t="s">
        <v>234</v>
      </c>
      <c r="B39" s="9" t="s">
        <v>235</v>
      </c>
      <c r="C39" s="10" t="s">
        <v>236</v>
      </c>
      <c r="D39" s="12">
        <v>0.0052893840833457</v>
      </c>
      <c r="E39" s="13">
        <v>459.0</v>
      </c>
      <c r="F39" s="16"/>
      <c r="G39" s="11" t="s">
        <v>148</v>
      </c>
      <c r="H39" s="16"/>
      <c r="I39" s="16"/>
      <c r="J39" s="16"/>
      <c r="K39" s="16"/>
    </row>
    <row r="40">
      <c r="A40" s="9" t="s">
        <v>237</v>
      </c>
      <c r="B40" s="9" t="s">
        <v>238</v>
      </c>
      <c r="C40" s="10" t="s">
        <v>239</v>
      </c>
      <c r="D40" s="12">
        <v>0.0052893840833457</v>
      </c>
      <c r="E40" s="13">
        <v>8.0</v>
      </c>
      <c r="F40" s="16"/>
      <c r="G40" s="11" t="s">
        <v>148</v>
      </c>
      <c r="H40" s="16"/>
      <c r="I40" s="16"/>
      <c r="J40" s="16"/>
      <c r="K40" s="16"/>
    </row>
    <row r="41">
      <c r="A41" s="9" t="s">
        <v>240</v>
      </c>
      <c r="B41" s="9" t="s">
        <v>241</v>
      </c>
      <c r="C41" s="10" t="s">
        <v>242</v>
      </c>
      <c r="D41" s="12">
        <v>0.0052893840833457</v>
      </c>
      <c r="E41" s="13">
        <v>130.0</v>
      </c>
      <c r="F41" s="16"/>
      <c r="G41" s="11" t="s">
        <v>148</v>
      </c>
      <c r="H41" s="16"/>
      <c r="I41" s="16"/>
      <c r="J41" s="16"/>
      <c r="K41" s="16"/>
    </row>
    <row r="42">
      <c r="A42" s="9" t="s">
        <v>243</v>
      </c>
      <c r="B42" s="9" t="s">
        <v>244</v>
      </c>
      <c r="C42" s="10" t="s">
        <v>245</v>
      </c>
      <c r="D42" s="12">
        <v>0.0052893840833457</v>
      </c>
      <c r="E42" s="13">
        <v>1.0</v>
      </c>
      <c r="F42" s="16"/>
      <c r="G42" s="11" t="s">
        <v>148</v>
      </c>
      <c r="H42" s="16"/>
      <c r="I42" s="16"/>
      <c r="J42" s="16"/>
      <c r="K42" s="16"/>
    </row>
    <row r="43">
      <c r="A43" s="9" t="s">
        <v>246</v>
      </c>
      <c r="B43" s="9" t="s">
        <v>247</v>
      </c>
      <c r="C43" s="10" t="s">
        <v>248</v>
      </c>
      <c r="D43" s="12">
        <v>0.0052893840833457</v>
      </c>
      <c r="E43" s="13">
        <v>203.0</v>
      </c>
      <c r="F43" s="16"/>
      <c r="G43" s="11" t="s">
        <v>148</v>
      </c>
      <c r="H43" s="16"/>
      <c r="I43" s="16"/>
      <c r="J43" s="16"/>
      <c r="K43" s="16"/>
    </row>
    <row r="44">
      <c r="A44" s="9" t="s">
        <v>249</v>
      </c>
      <c r="B44" s="9" t="s">
        <v>250</v>
      </c>
      <c r="C44" s="10" t="s">
        <v>251</v>
      </c>
      <c r="D44" s="12">
        <v>0.0052893840833457</v>
      </c>
      <c r="E44" s="13">
        <v>1002.0</v>
      </c>
      <c r="F44" s="11" t="s">
        <v>14</v>
      </c>
      <c r="G44" s="11" t="s">
        <v>14</v>
      </c>
      <c r="H44" s="23"/>
      <c r="I44" s="11" t="s">
        <v>148</v>
      </c>
      <c r="J44" s="11"/>
      <c r="K44" s="11"/>
    </row>
    <row r="45">
      <c r="A45" s="9" t="s">
        <v>252</v>
      </c>
      <c r="B45" s="9" t="s">
        <v>253</v>
      </c>
      <c r="C45" s="10" t="s">
        <v>254</v>
      </c>
      <c r="D45" s="12">
        <v>0.0052893840833457</v>
      </c>
      <c r="E45" s="13">
        <v>2.0</v>
      </c>
      <c r="F45" s="16"/>
      <c r="G45" s="11" t="s">
        <v>148</v>
      </c>
      <c r="H45" s="16"/>
      <c r="I45" s="16"/>
      <c r="J45" s="16"/>
      <c r="K45" s="16"/>
    </row>
    <row r="46">
      <c r="A46" s="9" t="s">
        <v>255</v>
      </c>
      <c r="B46" s="9" t="s">
        <v>256</v>
      </c>
      <c r="C46" s="10" t="s">
        <v>257</v>
      </c>
      <c r="D46" s="12">
        <v>0.0052893840833457</v>
      </c>
      <c r="E46" s="13">
        <v>957.0</v>
      </c>
      <c r="F46" s="16"/>
      <c r="G46" s="11" t="s">
        <v>148</v>
      </c>
      <c r="H46" s="16"/>
      <c r="I46" s="16"/>
      <c r="J46" s="16"/>
      <c r="K46" s="16"/>
    </row>
    <row r="47">
      <c r="A47" s="9" t="s">
        <v>258</v>
      </c>
      <c r="B47" s="9" t="s">
        <v>259</v>
      </c>
      <c r="C47" s="10"/>
      <c r="D47" s="12">
        <v>0.0052893840833457</v>
      </c>
      <c r="E47" s="13">
        <v>0.0</v>
      </c>
      <c r="F47" s="16"/>
      <c r="G47" s="11" t="s">
        <v>148</v>
      </c>
      <c r="H47" s="16"/>
      <c r="I47" s="16"/>
      <c r="J47" s="16"/>
      <c r="K47" s="16"/>
    </row>
    <row r="48">
      <c r="A48" s="9" t="s">
        <v>33</v>
      </c>
      <c r="B48" s="9" t="s">
        <v>34</v>
      </c>
      <c r="C48" s="10" t="s">
        <v>35</v>
      </c>
      <c r="D48" s="12">
        <v>0.0052893840833457</v>
      </c>
      <c r="E48" s="13">
        <v>8184.0</v>
      </c>
      <c r="F48" s="11" t="s">
        <v>14</v>
      </c>
      <c r="G48" s="11" t="s">
        <v>14</v>
      </c>
      <c r="H48" s="11" t="s">
        <v>14</v>
      </c>
      <c r="I48" s="11" t="s">
        <v>14</v>
      </c>
      <c r="J48" s="11"/>
      <c r="K48" s="11"/>
    </row>
    <row r="49">
      <c r="A49" s="9" t="s">
        <v>260</v>
      </c>
      <c r="B49" s="9" t="s">
        <v>261</v>
      </c>
      <c r="C49" s="10" t="s">
        <v>262</v>
      </c>
      <c r="D49" s="12">
        <v>0.0052893840833457</v>
      </c>
      <c r="E49" s="13">
        <v>0.0</v>
      </c>
      <c r="F49" s="16"/>
      <c r="G49" s="11" t="s">
        <v>148</v>
      </c>
      <c r="H49" s="16"/>
      <c r="I49" s="16"/>
      <c r="J49" s="16"/>
      <c r="K49" s="16"/>
    </row>
    <row r="50">
      <c r="A50" s="9" t="s">
        <v>263</v>
      </c>
      <c r="B50" s="9" t="s">
        <v>264</v>
      </c>
      <c r="C50" s="10" t="s">
        <v>265</v>
      </c>
      <c r="D50" s="12">
        <v>0.0052893840833457</v>
      </c>
      <c r="E50" s="13">
        <v>4.0</v>
      </c>
      <c r="F50" s="16"/>
      <c r="G50" s="11" t="s">
        <v>148</v>
      </c>
      <c r="H50" s="16"/>
      <c r="I50" s="16"/>
      <c r="J50" s="16"/>
      <c r="K50" s="16"/>
    </row>
    <row r="51">
      <c r="A51" s="9" t="s">
        <v>266</v>
      </c>
      <c r="B51" s="9" t="s">
        <v>267</v>
      </c>
      <c r="C51" s="10" t="s">
        <v>268</v>
      </c>
      <c r="D51" s="12">
        <v>0.0052893840833457</v>
      </c>
      <c r="E51" s="13">
        <v>140.0</v>
      </c>
      <c r="F51" s="16"/>
      <c r="G51" s="11" t="s">
        <v>148</v>
      </c>
      <c r="H51" s="16"/>
      <c r="I51" s="16"/>
      <c r="J51" s="16"/>
      <c r="K51" s="16"/>
    </row>
    <row r="52">
      <c r="A52" s="9" t="s">
        <v>269</v>
      </c>
      <c r="B52" s="9" t="s">
        <v>270</v>
      </c>
      <c r="C52" s="10" t="s">
        <v>271</v>
      </c>
      <c r="D52" s="12">
        <v>0.0052893840833457</v>
      </c>
      <c r="E52" s="13">
        <v>653.0</v>
      </c>
      <c r="F52" s="16"/>
      <c r="G52" s="11" t="s">
        <v>148</v>
      </c>
      <c r="H52" s="16"/>
      <c r="I52" s="16"/>
      <c r="J52" s="16"/>
      <c r="K52" s="16"/>
    </row>
    <row r="53">
      <c r="A53" s="24" t="s">
        <v>272</v>
      </c>
      <c r="B53" s="24" t="s">
        <v>273</v>
      </c>
      <c r="C53" s="25" t="s">
        <v>274</v>
      </c>
      <c r="D53" s="26">
        <v>0.0052893840833457</v>
      </c>
      <c r="E53" s="27">
        <v>2484.0</v>
      </c>
      <c r="F53" s="28"/>
      <c r="G53" s="29" t="s">
        <v>14</v>
      </c>
      <c r="H53" s="28"/>
      <c r="I53" s="22" t="s">
        <v>148</v>
      </c>
      <c r="J53" s="22"/>
      <c r="K53" s="22"/>
    </row>
    <row r="54">
      <c r="A54" s="9" t="s">
        <v>275</v>
      </c>
      <c r="B54" s="9" t="s">
        <v>276</v>
      </c>
      <c r="C54" s="10" t="s">
        <v>277</v>
      </c>
      <c r="D54" s="12">
        <v>0.0052893840833457</v>
      </c>
      <c r="E54" s="13">
        <v>19.0</v>
      </c>
      <c r="F54" s="16"/>
      <c r="G54" s="11" t="s">
        <v>148</v>
      </c>
      <c r="H54" s="16"/>
      <c r="I54" s="16"/>
      <c r="J54" s="16"/>
      <c r="K54" s="16"/>
    </row>
    <row r="55">
      <c r="A55" s="9" t="s">
        <v>278</v>
      </c>
      <c r="B55" s="9" t="s">
        <v>279</v>
      </c>
      <c r="C55" s="10" t="s">
        <v>280</v>
      </c>
      <c r="D55" s="12">
        <v>0.0052893840833457</v>
      </c>
      <c r="E55" s="13">
        <v>34.0</v>
      </c>
      <c r="F55" s="16"/>
      <c r="G55" s="11" t="s">
        <v>148</v>
      </c>
      <c r="H55" s="16"/>
      <c r="I55" s="16"/>
      <c r="J55" s="16"/>
      <c r="K55" s="16"/>
    </row>
    <row r="56">
      <c r="A56" s="9" t="s">
        <v>281</v>
      </c>
      <c r="B56" s="9" t="s">
        <v>282</v>
      </c>
      <c r="C56" s="10" t="s">
        <v>283</v>
      </c>
      <c r="D56" s="12">
        <v>0.0052893840833457</v>
      </c>
      <c r="E56" s="13">
        <v>10.0</v>
      </c>
      <c r="F56" s="16"/>
      <c r="G56" s="11" t="s">
        <v>148</v>
      </c>
      <c r="H56" s="16"/>
      <c r="I56" s="16"/>
      <c r="J56" s="16"/>
      <c r="K56" s="16"/>
    </row>
    <row r="57">
      <c r="A57" s="9" t="s">
        <v>284</v>
      </c>
      <c r="B57" s="9" t="s">
        <v>285</v>
      </c>
      <c r="C57" s="10" t="s">
        <v>286</v>
      </c>
      <c r="D57" s="12">
        <v>0.0052893840833457</v>
      </c>
      <c r="E57" s="13">
        <v>531.0</v>
      </c>
      <c r="F57" s="16"/>
      <c r="G57" s="11" t="s">
        <v>148</v>
      </c>
      <c r="H57" s="16"/>
      <c r="I57" s="16"/>
      <c r="J57" s="16"/>
      <c r="K57" s="16"/>
    </row>
    <row r="58">
      <c r="A58" s="9" t="s">
        <v>287</v>
      </c>
      <c r="B58" s="9" t="s">
        <v>288</v>
      </c>
      <c r="C58" s="10" t="s">
        <v>289</v>
      </c>
      <c r="D58" s="12">
        <v>0.0052893840833457</v>
      </c>
      <c r="E58" s="13">
        <v>3186.0</v>
      </c>
      <c r="F58" s="11" t="s">
        <v>14</v>
      </c>
      <c r="G58" s="11" t="s">
        <v>14</v>
      </c>
      <c r="H58" s="23"/>
      <c r="I58" s="30" t="s">
        <v>14</v>
      </c>
      <c r="J58" s="11"/>
      <c r="K58" s="11"/>
    </row>
    <row r="59">
      <c r="A59" s="9" t="s">
        <v>290</v>
      </c>
      <c r="B59" s="9" t="s">
        <v>291</v>
      </c>
      <c r="C59" s="10" t="s">
        <v>292</v>
      </c>
      <c r="D59" s="12">
        <v>0.0052893840833457</v>
      </c>
      <c r="E59" s="13">
        <v>189.0</v>
      </c>
      <c r="F59" s="16"/>
      <c r="G59" s="11" t="s">
        <v>148</v>
      </c>
      <c r="H59" s="16"/>
      <c r="I59" s="16"/>
      <c r="J59" s="16"/>
      <c r="K59" s="16"/>
    </row>
    <row r="60">
      <c r="A60" s="9" t="s">
        <v>293</v>
      </c>
      <c r="B60" s="9" t="s">
        <v>294</v>
      </c>
      <c r="C60" s="10" t="s">
        <v>295</v>
      </c>
      <c r="D60" s="12">
        <v>0.0052893840833457</v>
      </c>
      <c r="E60" s="13">
        <v>6.0</v>
      </c>
      <c r="F60" s="16"/>
      <c r="G60" s="11" t="s">
        <v>148</v>
      </c>
      <c r="H60" s="16"/>
      <c r="I60" s="16"/>
      <c r="J60" s="16"/>
      <c r="K60" s="16"/>
    </row>
    <row r="61">
      <c r="A61" s="9" t="s">
        <v>296</v>
      </c>
      <c r="B61" s="9" t="s">
        <v>297</v>
      </c>
      <c r="C61" s="10" t="s">
        <v>298</v>
      </c>
      <c r="D61" s="12">
        <v>0.0052893840833457</v>
      </c>
      <c r="E61" s="13">
        <v>2.0</v>
      </c>
      <c r="F61" s="16"/>
      <c r="G61" s="11" t="s">
        <v>148</v>
      </c>
      <c r="H61" s="16"/>
      <c r="I61" s="16"/>
      <c r="J61" s="16"/>
      <c r="K61" s="16"/>
    </row>
    <row r="62">
      <c r="A62" s="9" t="s">
        <v>299</v>
      </c>
      <c r="B62" s="9" t="s">
        <v>300</v>
      </c>
      <c r="C62" s="10" t="s">
        <v>301</v>
      </c>
      <c r="D62" s="12">
        <v>0.0052893840833457</v>
      </c>
      <c r="E62" s="13">
        <v>97.0</v>
      </c>
      <c r="F62" s="16"/>
      <c r="G62" s="11" t="s">
        <v>148</v>
      </c>
      <c r="H62" s="16"/>
      <c r="I62" s="16"/>
      <c r="J62" s="16"/>
      <c r="K62" s="16"/>
    </row>
    <row r="63">
      <c r="A63" s="9" t="s">
        <v>302</v>
      </c>
      <c r="B63" s="9" t="s">
        <v>303</v>
      </c>
      <c r="C63" s="10" t="s">
        <v>304</v>
      </c>
      <c r="D63" s="12">
        <v>0.0052893840833457</v>
      </c>
      <c r="E63" s="13">
        <v>244.0</v>
      </c>
      <c r="F63" s="16"/>
      <c r="G63" s="11" t="s">
        <v>148</v>
      </c>
      <c r="H63" s="16"/>
      <c r="I63" s="16"/>
      <c r="J63" s="16"/>
      <c r="K63" s="16"/>
    </row>
    <row r="64">
      <c r="A64" s="9" t="s">
        <v>305</v>
      </c>
      <c r="B64" s="9" t="s">
        <v>306</v>
      </c>
      <c r="C64" s="10" t="s">
        <v>307</v>
      </c>
      <c r="D64" s="12">
        <v>0.0052893840833457</v>
      </c>
      <c r="E64" s="13">
        <v>2.0</v>
      </c>
      <c r="F64" s="16"/>
      <c r="G64" s="11" t="s">
        <v>148</v>
      </c>
      <c r="H64" s="16"/>
      <c r="I64" s="16"/>
      <c r="J64" s="16"/>
      <c r="K64" s="16"/>
    </row>
    <row r="65">
      <c r="A65" s="9" t="s">
        <v>36</v>
      </c>
      <c r="B65" s="9" t="s">
        <v>37</v>
      </c>
      <c r="C65" s="10" t="s">
        <v>38</v>
      </c>
      <c r="D65" s="12">
        <v>0.0052893840833457</v>
      </c>
      <c r="E65" s="13">
        <v>49964.0</v>
      </c>
      <c r="F65" s="11" t="s">
        <v>14</v>
      </c>
      <c r="G65" s="11" t="s">
        <v>14</v>
      </c>
      <c r="H65" s="11" t="s">
        <v>14</v>
      </c>
      <c r="I65" s="11" t="s">
        <v>14</v>
      </c>
      <c r="J65" s="11"/>
      <c r="K65" s="11"/>
    </row>
    <row r="66">
      <c r="A66" s="9" t="s">
        <v>308</v>
      </c>
      <c r="B66" s="9" t="s">
        <v>309</v>
      </c>
      <c r="C66" s="10" t="s">
        <v>310</v>
      </c>
      <c r="D66" s="12">
        <v>0.0052893840833457</v>
      </c>
      <c r="E66" s="13">
        <v>1.0</v>
      </c>
      <c r="F66" s="16"/>
      <c r="G66" s="11" t="s">
        <v>148</v>
      </c>
      <c r="H66" s="16"/>
      <c r="I66" s="16"/>
      <c r="J66" s="16"/>
      <c r="K66" s="16"/>
    </row>
    <row r="67">
      <c r="A67" s="9" t="s">
        <v>311</v>
      </c>
      <c r="B67" s="9" t="s">
        <v>312</v>
      </c>
      <c r="C67" s="10" t="s">
        <v>313</v>
      </c>
      <c r="D67" s="12">
        <v>0.0052893840833457</v>
      </c>
      <c r="E67" s="13">
        <v>26.0</v>
      </c>
      <c r="F67" s="16"/>
      <c r="G67" s="11" t="s">
        <v>148</v>
      </c>
      <c r="H67" s="16"/>
      <c r="I67" s="16"/>
      <c r="J67" s="16"/>
      <c r="K67" s="16"/>
    </row>
    <row r="68">
      <c r="A68" s="9" t="s">
        <v>314</v>
      </c>
      <c r="B68" s="9" t="s">
        <v>315</v>
      </c>
      <c r="C68" s="10" t="s">
        <v>316</v>
      </c>
      <c r="D68" s="12">
        <v>0.0052893840833457</v>
      </c>
      <c r="E68" s="13">
        <v>3.0</v>
      </c>
      <c r="F68" s="16"/>
      <c r="G68" s="11" t="s">
        <v>148</v>
      </c>
      <c r="H68" s="16"/>
      <c r="I68" s="16"/>
      <c r="J68" s="16"/>
      <c r="K68" s="16"/>
    </row>
    <row r="69">
      <c r="A69" s="9" t="s">
        <v>317</v>
      </c>
      <c r="B69" s="9" t="s">
        <v>318</v>
      </c>
      <c r="C69" s="10" t="s">
        <v>319</v>
      </c>
      <c r="D69" s="12">
        <v>0.0052893840833457</v>
      </c>
      <c r="E69" s="13">
        <v>0.0</v>
      </c>
      <c r="F69" s="16"/>
      <c r="G69" s="11" t="s">
        <v>148</v>
      </c>
      <c r="H69" s="16"/>
      <c r="I69" s="16"/>
      <c r="J69" s="16"/>
      <c r="K69" s="16"/>
    </row>
    <row r="70">
      <c r="A70" s="9" t="s">
        <v>320</v>
      </c>
      <c r="B70" s="9" t="s">
        <v>321</v>
      </c>
      <c r="C70" s="10" t="s">
        <v>322</v>
      </c>
      <c r="D70" s="12">
        <v>0.0052893840833457</v>
      </c>
      <c r="E70" s="13">
        <v>23.0</v>
      </c>
      <c r="F70" s="16"/>
      <c r="G70" s="11" t="s">
        <v>148</v>
      </c>
      <c r="H70" s="16"/>
      <c r="I70" s="16"/>
      <c r="J70" s="16"/>
      <c r="K70" s="16"/>
    </row>
    <row r="71">
      <c r="A71" s="9" t="s">
        <v>323</v>
      </c>
      <c r="B71" s="9" t="s">
        <v>324</v>
      </c>
      <c r="C71" s="10" t="s">
        <v>325</v>
      </c>
      <c r="D71" s="12">
        <v>0.0052893840833457</v>
      </c>
      <c r="E71" s="13">
        <v>199.0</v>
      </c>
      <c r="F71" s="16"/>
      <c r="G71" s="11" t="s">
        <v>148</v>
      </c>
      <c r="H71" s="16"/>
      <c r="I71" s="16"/>
      <c r="J71" s="16"/>
      <c r="K71" s="16"/>
    </row>
    <row r="72">
      <c r="A72" s="9" t="s">
        <v>326</v>
      </c>
      <c r="B72" s="9" t="s">
        <v>327</v>
      </c>
      <c r="C72" s="10" t="s">
        <v>328</v>
      </c>
      <c r="D72" s="12">
        <v>0.0052893840833457</v>
      </c>
      <c r="E72" s="13">
        <v>2.0</v>
      </c>
      <c r="F72" s="16"/>
      <c r="G72" s="11" t="s">
        <v>148</v>
      </c>
      <c r="H72" s="16"/>
      <c r="I72" s="16"/>
      <c r="J72" s="16"/>
      <c r="K72" s="16"/>
    </row>
    <row r="73">
      <c r="A73" s="9" t="s">
        <v>329</v>
      </c>
      <c r="B73" s="9" t="s">
        <v>330</v>
      </c>
      <c r="C73" s="10" t="s">
        <v>331</v>
      </c>
      <c r="D73" s="12">
        <v>0.0052893840833457</v>
      </c>
      <c r="E73" s="13">
        <v>144.0</v>
      </c>
      <c r="F73" s="16"/>
      <c r="G73" s="11" t="s">
        <v>148</v>
      </c>
      <c r="H73" s="16"/>
      <c r="I73" s="16"/>
      <c r="J73" s="16"/>
      <c r="K73" s="16"/>
    </row>
    <row r="74">
      <c r="A74" s="9" t="s">
        <v>332</v>
      </c>
      <c r="B74" s="9" t="s">
        <v>333</v>
      </c>
      <c r="C74" s="10" t="s">
        <v>334</v>
      </c>
      <c r="D74" s="12">
        <v>0.0052893840833457</v>
      </c>
      <c r="E74" s="13">
        <v>110.0</v>
      </c>
      <c r="F74" s="16"/>
      <c r="G74" s="11" t="s">
        <v>148</v>
      </c>
      <c r="H74" s="16"/>
      <c r="I74" s="16"/>
      <c r="J74" s="16"/>
      <c r="K74" s="16"/>
    </row>
    <row r="75">
      <c r="A75" s="9" t="s">
        <v>335</v>
      </c>
      <c r="B75" s="9" t="s">
        <v>336</v>
      </c>
      <c r="C75" s="10" t="s">
        <v>337</v>
      </c>
      <c r="D75" s="12">
        <v>0.0052893840833457</v>
      </c>
      <c r="E75" s="13">
        <v>11.0</v>
      </c>
      <c r="F75" s="16"/>
      <c r="G75" s="11" t="s">
        <v>148</v>
      </c>
      <c r="H75" s="16"/>
      <c r="I75" s="16"/>
      <c r="J75" s="16"/>
      <c r="K75" s="16"/>
    </row>
    <row r="76">
      <c r="A76" s="9" t="s">
        <v>338</v>
      </c>
      <c r="B76" s="9" t="s">
        <v>339</v>
      </c>
      <c r="C76" s="10" t="s">
        <v>340</v>
      </c>
      <c r="D76" s="12">
        <v>0.0052893840833457</v>
      </c>
      <c r="E76" s="13">
        <v>776.0</v>
      </c>
      <c r="F76" s="16"/>
      <c r="G76" s="11" t="s">
        <v>148</v>
      </c>
      <c r="H76" s="16"/>
      <c r="I76" s="16"/>
      <c r="J76" s="16"/>
      <c r="K76" s="16"/>
    </row>
    <row r="77">
      <c r="A77" s="9" t="s">
        <v>341</v>
      </c>
      <c r="B77" s="9" t="s">
        <v>342</v>
      </c>
      <c r="C77" s="10" t="s">
        <v>343</v>
      </c>
      <c r="D77" s="12">
        <v>0.0052893840833457</v>
      </c>
      <c r="E77" s="13">
        <v>16202.0</v>
      </c>
      <c r="F77" s="11" t="s">
        <v>14</v>
      </c>
      <c r="G77" s="11" t="s">
        <v>14</v>
      </c>
      <c r="H77" s="11" t="s">
        <v>148</v>
      </c>
      <c r="I77" s="11" t="s">
        <v>14</v>
      </c>
      <c r="J77" s="11"/>
      <c r="K77" s="11"/>
    </row>
    <row r="78">
      <c r="A78" s="9" t="s">
        <v>344</v>
      </c>
      <c r="B78" s="9" t="s">
        <v>345</v>
      </c>
      <c r="C78" s="10"/>
      <c r="D78" s="12">
        <v>0.0052893840833457</v>
      </c>
      <c r="E78" s="13">
        <v>375.0</v>
      </c>
      <c r="F78" s="16"/>
      <c r="G78" s="11" t="s">
        <v>148</v>
      </c>
      <c r="H78" s="16"/>
      <c r="I78" s="16"/>
      <c r="J78" s="16"/>
      <c r="K78" s="16"/>
    </row>
    <row r="79">
      <c r="A79" s="9" t="s">
        <v>346</v>
      </c>
      <c r="B79" s="9" t="s">
        <v>347</v>
      </c>
      <c r="C79" s="10" t="s">
        <v>348</v>
      </c>
      <c r="D79" s="12">
        <v>0.0052893840833457</v>
      </c>
      <c r="E79" s="13">
        <v>130.0</v>
      </c>
      <c r="F79" s="16"/>
      <c r="G79" s="11" t="s">
        <v>148</v>
      </c>
      <c r="H79" s="16"/>
      <c r="I79" s="16"/>
      <c r="J79" s="16"/>
      <c r="K79" s="16"/>
    </row>
    <row r="80">
      <c r="A80" s="9" t="s">
        <v>349</v>
      </c>
      <c r="B80" s="9" t="s">
        <v>350</v>
      </c>
      <c r="C80" s="10" t="s">
        <v>351</v>
      </c>
      <c r="D80" s="12">
        <v>0.0052893840833457</v>
      </c>
      <c r="E80" s="13">
        <v>125.0</v>
      </c>
      <c r="F80" s="16"/>
      <c r="G80" s="11" t="s">
        <v>148</v>
      </c>
      <c r="H80" s="16"/>
      <c r="I80" s="16"/>
      <c r="J80" s="16"/>
      <c r="K80" s="16"/>
    </row>
    <row r="81">
      <c r="A81" s="9" t="s">
        <v>352</v>
      </c>
      <c r="B81" s="9" t="s">
        <v>353</v>
      </c>
      <c r="C81" s="10" t="s">
        <v>354</v>
      </c>
      <c r="D81" s="12">
        <v>0.0052893840833457</v>
      </c>
      <c r="E81" s="13">
        <v>7.0</v>
      </c>
      <c r="F81" s="16"/>
      <c r="G81" s="11" t="s">
        <v>148</v>
      </c>
      <c r="H81" s="16"/>
      <c r="I81" s="16"/>
      <c r="J81" s="16"/>
      <c r="K81" s="16"/>
    </row>
    <row r="82">
      <c r="A82" s="9" t="s">
        <v>355</v>
      </c>
      <c r="B82" s="9" t="s">
        <v>356</v>
      </c>
      <c r="C82" s="10" t="s">
        <v>357</v>
      </c>
      <c r="D82" s="12">
        <v>0.0052893840833457</v>
      </c>
      <c r="E82" s="13">
        <v>374947.0</v>
      </c>
      <c r="F82" s="11" t="s">
        <v>14</v>
      </c>
      <c r="G82" s="11" t="s">
        <v>14</v>
      </c>
      <c r="H82" s="11"/>
      <c r="I82" s="11" t="s">
        <v>148</v>
      </c>
      <c r="J82" s="11"/>
      <c r="K82" s="11"/>
    </row>
    <row r="83">
      <c r="A83" s="9" t="s">
        <v>358</v>
      </c>
      <c r="B83" s="31" t="s">
        <v>359</v>
      </c>
      <c r="C83" s="10"/>
      <c r="D83" s="12">
        <v>0.0052893840833457</v>
      </c>
      <c r="E83" s="13">
        <v>23.0</v>
      </c>
      <c r="F83" s="16"/>
      <c r="G83" s="11" t="s">
        <v>148</v>
      </c>
      <c r="H83" s="16"/>
      <c r="I83" s="16"/>
      <c r="J83" s="16"/>
      <c r="K83" s="16"/>
    </row>
    <row r="84">
      <c r="A84" s="9" t="s">
        <v>360</v>
      </c>
      <c r="B84" s="9" t="s">
        <v>361</v>
      </c>
      <c r="C84" s="10" t="s">
        <v>362</v>
      </c>
      <c r="D84" s="12">
        <v>0.0052893840833457</v>
      </c>
      <c r="E84" s="13">
        <v>272.0</v>
      </c>
      <c r="F84" s="16"/>
      <c r="G84" s="11" t="s">
        <v>148</v>
      </c>
      <c r="H84" s="16"/>
      <c r="I84" s="16"/>
      <c r="J84" s="16"/>
      <c r="K84" s="16"/>
    </row>
    <row r="85">
      <c r="A85" s="9" t="s">
        <v>363</v>
      </c>
      <c r="B85" s="9" t="s">
        <v>363</v>
      </c>
      <c r="C85" s="10" t="s">
        <v>364</v>
      </c>
      <c r="D85" s="12">
        <v>0.0052893840833457</v>
      </c>
      <c r="E85" s="13">
        <v>6.0</v>
      </c>
      <c r="F85" s="16"/>
      <c r="G85" s="11" t="s">
        <v>148</v>
      </c>
      <c r="H85" s="16"/>
      <c r="I85" s="16"/>
      <c r="J85" s="16"/>
      <c r="K85" s="16"/>
    </row>
    <row r="86">
      <c r="A86" s="9" t="s">
        <v>365</v>
      </c>
      <c r="B86" s="9" t="s">
        <v>366</v>
      </c>
      <c r="C86" s="10" t="s">
        <v>367</v>
      </c>
      <c r="D86" s="12">
        <v>0.0052893840833457</v>
      </c>
      <c r="E86" s="13">
        <v>3712.0</v>
      </c>
      <c r="F86" s="11" t="s">
        <v>14</v>
      </c>
      <c r="G86" s="11" t="s">
        <v>14</v>
      </c>
      <c r="H86" s="23"/>
      <c r="I86" s="11" t="s">
        <v>148</v>
      </c>
      <c r="J86" s="11"/>
      <c r="K86" s="11"/>
    </row>
    <row r="87">
      <c r="A87" s="9" t="s">
        <v>368</v>
      </c>
      <c r="B87" s="9" t="s">
        <v>369</v>
      </c>
      <c r="C87" s="10" t="s">
        <v>370</v>
      </c>
      <c r="D87" s="12">
        <v>0.0052893840833457</v>
      </c>
      <c r="E87" s="13">
        <v>0.0</v>
      </c>
      <c r="F87" s="16"/>
      <c r="G87" s="11" t="s">
        <v>148</v>
      </c>
      <c r="H87" s="16"/>
      <c r="I87" s="16"/>
      <c r="J87" s="16"/>
      <c r="K87" s="16"/>
    </row>
    <row r="88">
      <c r="A88" s="24" t="s">
        <v>371</v>
      </c>
      <c r="B88" s="24" t="s">
        <v>372</v>
      </c>
      <c r="C88" s="25" t="s">
        <v>373</v>
      </c>
      <c r="D88" s="26">
        <v>0.0052893840833457</v>
      </c>
      <c r="E88" s="27">
        <v>2631.0</v>
      </c>
      <c r="F88" s="28"/>
      <c r="G88" s="29" t="s">
        <v>14</v>
      </c>
      <c r="H88" s="28"/>
      <c r="I88" s="22" t="s">
        <v>148</v>
      </c>
      <c r="J88" s="22"/>
      <c r="K88" s="22"/>
    </row>
    <row r="89">
      <c r="A89" s="9" t="s">
        <v>374</v>
      </c>
      <c r="B89" s="9" t="s">
        <v>375</v>
      </c>
      <c r="C89" s="10"/>
      <c r="D89" s="12">
        <v>0.0052893840833457</v>
      </c>
      <c r="E89" s="13">
        <v>0.0</v>
      </c>
      <c r="F89" s="16"/>
      <c r="G89" s="11" t="s">
        <v>148</v>
      </c>
      <c r="H89" s="16"/>
      <c r="I89" s="16"/>
      <c r="J89" s="16"/>
      <c r="K89" s="16"/>
    </row>
    <row r="90">
      <c r="A90" s="9" t="s">
        <v>376</v>
      </c>
      <c r="B90" s="9" t="s">
        <v>377</v>
      </c>
      <c r="C90" s="10" t="s">
        <v>378</v>
      </c>
      <c r="D90" s="12">
        <v>0.0052893840833457</v>
      </c>
      <c r="E90" s="13">
        <v>188.0</v>
      </c>
      <c r="F90" s="16"/>
      <c r="G90" s="11" t="s">
        <v>148</v>
      </c>
      <c r="H90" s="16"/>
      <c r="I90" s="16"/>
      <c r="J90" s="16"/>
      <c r="K90" s="16"/>
    </row>
    <row r="91">
      <c r="A91" s="9" t="s">
        <v>121</v>
      </c>
      <c r="B91" s="9" t="s">
        <v>121</v>
      </c>
      <c r="C91" s="10" t="s">
        <v>379</v>
      </c>
      <c r="D91" s="12">
        <v>0.0052893840833457</v>
      </c>
      <c r="E91" s="13">
        <v>35.0</v>
      </c>
      <c r="F91" s="16"/>
      <c r="G91" s="11" t="s">
        <v>148</v>
      </c>
      <c r="H91" s="16"/>
      <c r="I91" s="16"/>
      <c r="J91" s="16"/>
      <c r="K91" s="16"/>
    </row>
    <row r="92">
      <c r="A92" s="9" t="s">
        <v>380</v>
      </c>
      <c r="B92" s="9" t="s">
        <v>381</v>
      </c>
      <c r="C92" s="10" t="s">
        <v>382</v>
      </c>
      <c r="D92" s="12">
        <v>0.0052893840833457</v>
      </c>
      <c r="E92" s="13">
        <v>7.0</v>
      </c>
      <c r="F92" s="16"/>
      <c r="G92" s="11" t="s">
        <v>148</v>
      </c>
      <c r="H92" s="16"/>
      <c r="I92" s="16"/>
      <c r="J92" s="16"/>
      <c r="K92" s="16"/>
    </row>
    <row r="93">
      <c r="A93" s="9" t="s">
        <v>383</v>
      </c>
      <c r="B93" s="9" t="s">
        <v>384</v>
      </c>
      <c r="C93" s="10" t="s">
        <v>385</v>
      </c>
      <c r="D93" s="12">
        <v>0.0052893840833457</v>
      </c>
      <c r="E93" s="13">
        <v>389.0</v>
      </c>
      <c r="F93" s="16"/>
      <c r="G93" s="11" t="s">
        <v>148</v>
      </c>
      <c r="H93" s="16"/>
      <c r="I93" s="16"/>
      <c r="J93" s="16"/>
      <c r="K93" s="16"/>
    </row>
    <row r="94">
      <c r="A94" s="9" t="s">
        <v>386</v>
      </c>
      <c r="B94" s="9" t="s">
        <v>387</v>
      </c>
      <c r="C94" s="10" t="s">
        <v>388</v>
      </c>
      <c r="D94" s="12">
        <v>0.0052893840833457</v>
      </c>
      <c r="E94" s="13">
        <v>62.0</v>
      </c>
      <c r="F94" s="16"/>
      <c r="G94" s="11" t="s">
        <v>148</v>
      </c>
      <c r="H94" s="16"/>
      <c r="I94" s="16"/>
      <c r="J94" s="16"/>
      <c r="K94" s="16"/>
    </row>
    <row r="95">
      <c r="A95" s="9" t="s">
        <v>389</v>
      </c>
      <c r="B95" s="9" t="s">
        <v>390</v>
      </c>
      <c r="C95" s="10" t="s">
        <v>391</v>
      </c>
      <c r="D95" s="12">
        <v>0.0052893840833457</v>
      </c>
      <c r="E95" s="13">
        <v>327.0</v>
      </c>
      <c r="F95" s="16"/>
      <c r="G95" s="11" t="s">
        <v>148</v>
      </c>
      <c r="H95" s="16"/>
      <c r="I95" s="16"/>
      <c r="J95" s="16"/>
      <c r="K95" s="16"/>
    </row>
    <row r="96">
      <c r="A96" s="9" t="s">
        <v>392</v>
      </c>
      <c r="B96" s="9" t="s">
        <v>393</v>
      </c>
      <c r="C96" s="10" t="s">
        <v>394</v>
      </c>
      <c r="D96" s="12">
        <v>0.0052893840833457</v>
      </c>
      <c r="E96" s="13">
        <v>1.0</v>
      </c>
      <c r="F96" s="16"/>
      <c r="G96" s="11" t="s">
        <v>148</v>
      </c>
      <c r="H96" s="16"/>
      <c r="I96" s="16"/>
      <c r="J96" s="16"/>
      <c r="K96" s="16"/>
    </row>
    <row r="97">
      <c r="A97" s="9" t="s">
        <v>395</v>
      </c>
      <c r="B97" s="9" t="s">
        <v>396</v>
      </c>
      <c r="C97" s="10" t="s">
        <v>397</v>
      </c>
      <c r="D97" s="12">
        <v>0.0052893840833457</v>
      </c>
      <c r="E97" s="13">
        <v>18.0</v>
      </c>
      <c r="F97" s="16"/>
      <c r="G97" s="11" t="s">
        <v>148</v>
      </c>
      <c r="H97" s="16"/>
      <c r="I97" s="16"/>
      <c r="J97" s="16"/>
      <c r="K97" s="16"/>
    </row>
    <row r="98">
      <c r="A98" s="9" t="s">
        <v>398</v>
      </c>
      <c r="B98" s="9" t="s">
        <v>399</v>
      </c>
      <c r="C98" s="10" t="s">
        <v>400</v>
      </c>
      <c r="D98" s="12">
        <v>0.0052893840833457</v>
      </c>
      <c r="E98" s="13">
        <v>1.0</v>
      </c>
      <c r="F98" s="16"/>
      <c r="G98" s="11" t="s">
        <v>148</v>
      </c>
      <c r="H98" s="16"/>
      <c r="I98" s="16"/>
      <c r="J98" s="16"/>
      <c r="K98" s="16"/>
    </row>
    <row r="99">
      <c r="A99" s="9" t="s">
        <v>401</v>
      </c>
      <c r="B99" s="9" t="s">
        <v>402</v>
      </c>
      <c r="C99" s="10" t="s">
        <v>403</v>
      </c>
      <c r="D99" s="12">
        <v>0.0052893840833457</v>
      </c>
      <c r="E99" s="13">
        <v>83.0</v>
      </c>
      <c r="F99" s="16"/>
      <c r="G99" s="11" t="s">
        <v>148</v>
      </c>
      <c r="H99" s="16"/>
      <c r="I99" s="16"/>
      <c r="J99" s="16"/>
      <c r="K99" s="16"/>
    </row>
    <row r="100">
      <c r="A100" s="9" t="s">
        <v>404</v>
      </c>
      <c r="B100" s="9" t="s">
        <v>405</v>
      </c>
      <c r="C100" s="10" t="s">
        <v>406</v>
      </c>
      <c r="D100" s="12">
        <v>0.0052893840833457</v>
      </c>
      <c r="E100" s="13">
        <v>246.0</v>
      </c>
      <c r="F100" s="16"/>
      <c r="G100" s="11" t="s">
        <v>148</v>
      </c>
      <c r="H100" s="16"/>
      <c r="I100" s="16"/>
      <c r="J100" s="16"/>
      <c r="K100" s="16"/>
    </row>
    <row r="101">
      <c r="A101" s="24" t="s">
        <v>407</v>
      </c>
      <c r="B101" s="24" t="s">
        <v>408</v>
      </c>
      <c r="C101" s="25" t="s">
        <v>409</v>
      </c>
      <c r="D101" s="26">
        <v>0.0052893840833457</v>
      </c>
      <c r="E101" s="27">
        <v>13398.0</v>
      </c>
      <c r="F101" s="28"/>
      <c r="G101" s="29" t="s">
        <v>14</v>
      </c>
      <c r="H101" s="28"/>
      <c r="I101" s="22" t="s">
        <v>148</v>
      </c>
      <c r="J101" s="22"/>
      <c r="K101" s="22"/>
    </row>
    <row r="102">
      <c r="A102" s="9" t="s">
        <v>410</v>
      </c>
      <c r="B102" s="9" t="s">
        <v>411</v>
      </c>
      <c r="C102" s="10" t="s">
        <v>412</v>
      </c>
      <c r="D102" s="12">
        <v>0.0052893840833457</v>
      </c>
      <c r="E102" s="13">
        <v>5.0</v>
      </c>
      <c r="F102" s="16"/>
      <c r="G102" s="11" t="s">
        <v>148</v>
      </c>
      <c r="H102" s="16"/>
      <c r="I102" s="16"/>
      <c r="J102" s="16"/>
      <c r="K102" s="16"/>
    </row>
    <row r="103">
      <c r="A103" s="9" t="s">
        <v>413</v>
      </c>
      <c r="B103" s="9" t="s">
        <v>414</v>
      </c>
      <c r="C103" s="10" t="s">
        <v>415</v>
      </c>
      <c r="D103" s="12">
        <v>0.0052893840833457</v>
      </c>
      <c r="E103" s="13">
        <v>10.0</v>
      </c>
      <c r="F103" s="16"/>
      <c r="G103" s="11" t="s">
        <v>148</v>
      </c>
      <c r="H103" s="16"/>
      <c r="I103" s="16"/>
      <c r="J103" s="16"/>
      <c r="K103" s="16"/>
    </row>
    <row r="104">
      <c r="A104" s="9" t="s">
        <v>416</v>
      </c>
      <c r="B104" s="9" t="s">
        <v>417</v>
      </c>
      <c r="C104" s="10" t="s">
        <v>418</v>
      </c>
      <c r="D104" s="12">
        <v>0.0052893840833457</v>
      </c>
      <c r="E104" s="13">
        <v>6759.0</v>
      </c>
      <c r="F104" s="11" t="s">
        <v>14</v>
      </c>
      <c r="G104" s="11" t="s">
        <v>14</v>
      </c>
      <c r="H104" s="23"/>
      <c r="I104" s="11" t="s">
        <v>148</v>
      </c>
      <c r="J104" s="11"/>
      <c r="K104" s="11"/>
    </row>
    <row r="105">
      <c r="A105" s="9" t="s">
        <v>419</v>
      </c>
      <c r="B105" s="9" t="s">
        <v>420</v>
      </c>
      <c r="C105" s="10" t="s">
        <v>421</v>
      </c>
      <c r="D105" s="12">
        <v>0.0052893840833457</v>
      </c>
      <c r="E105" s="13">
        <v>148.0</v>
      </c>
      <c r="F105" s="16"/>
      <c r="G105" s="11" t="s">
        <v>148</v>
      </c>
      <c r="H105" s="16"/>
      <c r="I105" s="16"/>
      <c r="J105" s="16"/>
      <c r="K105" s="16"/>
    </row>
    <row r="106">
      <c r="A106" s="9" t="s">
        <v>422</v>
      </c>
      <c r="B106" s="9" t="s">
        <v>423</v>
      </c>
      <c r="C106" s="10"/>
      <c r="D106" s="12">
        <v>0.0052893840833457</v>
      </c>
      <c r="E106" s="13">
        <v>29.0</v>
      </c>
      <c r="F106" s="16"/>
      <c r="G106" s="11" t="s">
        <v>148</v>
      </c>
      <c r="H106" s="16"/>
      <c r="I106" s="16"/>
      <c r="J106" s="16"/>
      <c r="K106" s="16"/>
    </row>
    <row r="107">
      <c r="A107" s="9" t="s">
        <v>424</v>
      </c>
      <c r="B107" s="9" t="s">
        <v>425</v>
      </c>
      <c r="C107" s="10" t="s">
        <v>426</v>
      </c>
      <c r="D107" s="12">
        <v>0.0052893840833457</v>
      </c>
      <c r="E107" s="13">
        <v>51866.0</v>
      </c>
      <c r="F107" s="11" t="s">
        <v>14</v>
      </c>
      <c r="G107" s="11" t="s">
        <v>14</v>
      </c>
      <c r="H107" s="23"/>
      <c r="I107" s="11" t="s">
        <v>148</v>
      </c>
      <c r="J107" s="11"/>
      <c r="K107" s="11"/>
    </row>
    <row r="108">
      <c r="A108" s="9" t="s">
        <v>427</v>
      </c>
      <c r="B108" s="9" t="s">
        <v>428</v>
      </c>
      <c r="C108" s="10" t="s">
        <v>429</v>
      </c>
      <c r="D108" s="12">
        <v>0.0052893840833457</v>
      </c>
      <c r="E108" s="13">
        <v>127.0</v>
      </c>
      <c r="F108" s="16"/>
      <c r="G108" s="11" t="s">
        <v>148</v>
      </c>
      <c r="H108" s="16"/>
      <c r="I108" s="16"/>
      <c r="J108" s="16"/>
      <c r="K108" s="16"/>
    </row>
    <row r="109">
      <c r="A109" s="9" t="s">
        <v>430</v>
      </c>
      <c r="B109" s="9" t="s">
        <v>431</v>
      </c>
      <c r="C109" s="10" t="s">
        <v>432</v>
      </c>
      <c r="D109" s="12">
        <v>0.0052893840833457</v>
      </c>
      <c r="E109" s="13">
        <v>98.0</v>
      </c>
      <c r="F109" s="16"/>
      <c r="G109" s="11" t="s">
        <v>148</v>
      </c>
      <c r="H109" s="16"/>
      <c r="I109" s="16"/>
      <c r="J109" s="16"/>
      <c r="K109" s="16"/>
    </row>
    <row r="110">
      <c r="A110" s="9" t="s">
        <v>433</v>
      </c>
      <c r="B110" s="9" t="s">
        <v>434</v>
      </c>
      <c r="C110" s="10" t="s">
        <v>435</v>
      </c>
      <c r="D110" s="12">
        <v>0.0052893840833457</v>
      </c>
      <c r="E110" s="13">
        <v>2.0</v>
      </c>
      <c r="F110" s="16"/>
      <c r="G110" s="11" t="s">
        <v>148</v>
      </c>
      <c r="H110" s="16"/>
      <c r="I110" s="16"/>
      <c r="J110" s="16"/>
      <c r="K110" s="16"/>
    </row>
    <row r="111">
      <c r="A111" s="9" t="s">
        <v>39</v>
      </c>
      <c r="B111" s="9" t="s">
        <v>40</v>
      </c>
      <c r="C111" s="10" t="s">
        <v>41</v>
      </c>
      <c r="D111" s="12">
        <v>0.0052893840833457</v>
      </c>
      <c r="E111" s="13">
        <v>6569.0</v>
      </c>
      <c r="F111" s="11" t="s">
        <v>14</v>
      </c>
      <c r="G111" s="11" t="s">
        <v>14</v>
      </c>
      <c r="H111" s="11" t="s">
        <v>14</v>
      </c>
      <c r="I111" s="11" t="s">
        <v>14</v>
      </c>
      <c r="J111" s="11"/>
      <c r="K111" s="11"/>
    </row>
    <row r="112">
      <c r="A112" s="9" t="s">
        <v>436</v>
      </c>
      <c r="B112" s="9" t="s">
        <v>437</v>
      </c>
      <c r="C112" s="10" t="s">
        <v>438</v>
      </c>
      <c r="D112" s="12">
        <v>0.0052893840833457</v>
      </c>
      <c r="E112" s="13">
        <v>1.0</v>
      </c>
      <c r="F112" s="16"/>
      <c r="G112" s="11" t="s">
        <v>148</v>
      </c>
      <c r="H112" s="16"/>
      <c r="I112" s="16"/>
      <c r="J112" s="16"/>
      <c r="K112" s="16"/>
    </row>
    <row r="113">
      <c r="A113" s="24" t="s">
        <v>439</v>
      </c>
      <c r="B113" s="24" t="s">
        <v>440</v>
      </c>
      <c r="C113" s="25" t="s">
        <v>441</v>
      </c>
      <c r="D113" s="26">
        <v>0.0052893840833457</v>
      </c>
      <c r="E113" s="27">
        <v>12386.0</v>
      </c>
      <c r="F113" s="28"/>
      <c r="G113" s="29" t="s">
        <v>14</v>
      </c>
      <c r="H113" s="28"/>
      <c r="I113" s="22" t="s">
        <v>148</v>
      </c>
      <c r="J113" s="22"/>
      <c r="K113" s="22"/>
    </row>
    <row r="114">
      <c r="A114" s="9" t="s">
        <v>442</v>
      </c>
      <c r="B114" s="9" t="s">
        <v>443</v>
      </c>
      <c r="C114" s="10" t="s">
        <v>444</v>
      </c>
      <c r="D114" s="12">
        <v>0.0052893840833457</v>
      </c>
      <c r="E114" s="13">
        <v>6.0</v>
      </c>
      <c r="F114" s="16"/>
      <c r="G114" s="11" t="s">
        <v>148</v>
      </c>
      <c r="H114" s="16"/>
      <c r="I114" s="16"/>
      <c r="J114" s="16"/>
      <c r="K114" s="16"/>
    </row>
    <row r="115">
      <c r="A115" s="24" t="s">
        <v>445</v>
      </c>
      <c r="B115" s="24" t="s">
        <v>446</v>
      </c>
      <c r="C115" s="25" t="s">
        <v>447</v>
      </c>
      <c r="D115" s="26">
        <v>0.0052893840833457</v>
      </c>
      <c r="E115" s="27">
        <v>8510.0</v>
      </c>
      <c r="F115" s="28"/>
      <c r="G115" s="29" t="s">
        <v>14</v>
      </c>
      <c r="H115" s="28"/>
      <c r="I115" s="22" t="s">
        <v>148</v>
      </c>
      <c r="J115" s="22"/>
      <c r="K115" s="22"/>
    </row>
    <row r="116">
      <c r="A116" s="9" t="s">
        <v>42</v>
      </c>
      <c r="B116" s="9" t="s">
        <v>43</v>
      </c>
      <c r="C116" s="10" t="s">
        <v>44</v>
      </c>
      <c r="D116" s="12">
        <v>0.0052893840833457</v>
      </c>
      <c r="E116" s="13">
        <v>1269.0</v>
      </c>
      <c r="F116" s="11" t="s">
        <v>14</v>
      </c>
      <c r="G116" s="11" t="s">
        <v>14</v>
      </c>
      <c r="H116" s="11" t="s">
        <v>14</v>
      </c>
      <c r="I116" s="11" t="s">
        <v>14</v>
      </c>
      <c r="J116" s="11"/>
      <c r="K116" s="11"/>
    </row>
    <row r="117">
      <c r="A117" s="9" t="s">
        <v>448</v>
      </c>
      <c r="B117" s="9" t="s">
        <v>449</v>
      </c>
      <c r="C117" s="10" t="s">
        <v>450</v>
      </c>
      <c r="D117" s="12">
        <v>0.0052893840833457</v>
      </c>
      <c r="E117" s="13">
        <v>35.0</v>
      </c>
      <c r="F117" s="16"/>
      <c r="G117" s="11" t="s">
        <v>148</v>
      </c>
      <c r="H117" s="16"/>
      <c r="I117" s="16"/>
      <c r="J117" s="16"/>
      <c r="K117" s="16"/>
    </row>
    <row r="118">
      <c r="A118" s="9" t="s">
        <v>451</v>
      </c>
      <c r="B118" s="9" t="s">
        <v>452</v>
      </c>
      <c r="C118" s="10" t="s">
        <v>453</v>
      </c>
      <c r="D118" s="12">
        <v>0.0052893840833457</v>
      </c>
      <c r="E118" s="13">
        <v>17.0</v>
      </c>
      <c r="F118" s="16"/>
      <c r="G118" s="11" t="s">
        <v>148</v>
      </c>
      <c r="H118" s="16"/>
      <c r="I118" s="16"/>
      <c r="J118" s="16"/>
      <c r="K118" s="16"/>
    </row>
    <row r="119">
      <c r="A119" s="9" t="s">
        <v>454</v>
      </c>
      <c r="B119" s="9" t="s">
        <v>455</v>
      </c>
      <c r="C119" s="10" t="s">
        <v>456</v>
      </c>
      <c r="D119" s="12">
        <v>0.0052893840833457</v>
      </c>
      <c r="E119" s="13">
        <v>2119.0</v>
      </c>
      <c r="F119" s="11" t="s">
        <v>14</v>
      </c>
      <c r="G119" s="11" t="s">
        <v>14</v>
      </c>
      <c r="H119" s="23"/>
      <c r="I119" s="11" t="s">
        <v>148</v>
      </c>
      <c r="J119" s="11"/>
      <c r="K119" s="11"/>
    </row>
    <row r="120">
      <c r="A120" s="9" t="s">
        <v>457</v>
      </c>
      <c r="B120" s="9" t="s">
        <v>458</v>
      </c>
      <c r="C120" s="10" t="s">
        <v>459</v>
      </c>
      <c r="D120" s="12">
        <v>0.0052893840833457</v>
      </c>
      <c r="E120" s="13">
        <v>10.0</v>
      </c>
      <c r="F120" s="16"/>
      <c r="G120" s="11" t="s">
        <v>148</v>
      </c>
      <c r="H120" s="16"/>
      <c r="I120" s="16"/>
      <c r="J120" s="16"/>
      <c r="K120" s="16"/>
    </row>
    <row r="121">
      <c r="A121" s="9" t="s">
        <v>460</v>
      </c>
      <c r="B121" s="9" t="s">
        <v>461</v>
      </c>
      <c r="C121" s="10" t="s">
        <v>462</v>
      </c>
      <c r="D121" s="12">
        <v>0.0052893840833457</v>
      </c>
      <c r="E121" s="13">
        <v>60.0</v>
      </c>
      <c r="F121" s="16"/>
      <c r="G121" s="11" t="s">
        <v>148</v>
      </c>
      <c r="H121" s="16"/>
      <c r="I121" s="16"/>
      <c r="J121" s="16"/>
      <c r="K121" s="16"/>
    </row>
    <row r="122">
      <c r="A122" s="9" t="s">
        <v>463</v>
      </c>
      <c r="B122" s="9" t="s">
        <v>464</v>
      </c>
      <c r="C122" s="10" t="s">
        <v>465</v>
      </c>
      <c r="D122" s="12">
        <v>0.0052893840833457</v>
      </c>
      <c r="E122" s="13">
        <v>1585.0</v>
      </c>
      <c r="F122" s="11" t="s">
        <v>14</v>
      </c>
      <c r="G122" s="11" t="s">
        <v>14</v>
      </c>
      <c r="H122" s="11" t="s">
        <v>148</v>
      </c>
      <c r="I122" s="23"/>
      <c r="J122" s="23"/>
      <c r="K122" s="23"/>
    </row>
    <row r="123">
      <c r="A123" s="9" t="s">
        <v>466</v>
      </c>
      <c r="B123" s="9" t="s">
        <v>467</v>
      </c>
      <c r="C123" s="10" t="s">
        <v>468</v>
      </c>
      <c r="D123" s="12">
        <v>0.0052893840833457</v>
      </c>
      <c r="E123" s="13">
        <v>13.0</v>
      </c>
      <c r="F123" s="16"/>
      <c r="G123" s="11" t="s">
        <v>148</v>
      </c>
      <c r="H123" s="16"/>
      <c r="I123" s="16"/>
      <c r="J123" s="16"/>
      <c r="K123" s="16"/>
    </row>
    <row r="124">
      <c r="A124" s="24" t="s">
        <v>469</v>
      </c>
      <c r="B124" s="24" t="s">
        <v>469</v>
      </c>
      <c r="C124" s="25" t="s">
        <v>470</v>
      </c>
      <c r="D124" s="26">
        <v>0.004352722318586567</v>
      </c>
      <c r="E124" s="27">
        <v>1792.0</v>
      </c>
      <c r="F124" s="28"/>
      <c r="G124" s="29" t="s">
        <v>14</v>
      </c>
      <c r="H124" s="28"/>
      <c r="I124" s="22" t="s">
        <v>148</v>
      </c>
      <c r="J124" s="22"/>
      <c r="K124" s="22"/>
    </row>
    <row r="125">
      <c r="A125" s="9" t="s">
        <v>471</v>
      </c>
      <c r="B125" s="9" t="s">
        <v>472</v>
      </c>
      <c r="C125" s="10" t="s">
        <v>473</v>
      </c>
      <c r="D125" s="12">
        <v>0.0034909934950081625</v>
      </c>
      <c r="E125" s="13">
        <v>2881.0</v>
      </c>
      <c r="F125" s="11" t="s">
        <v>14</v>
      </c>
      <c r="G125" s="11" t="s">
        <v>14</v>
      </c>
      <c r="H125" s="11" t="s">
        <v>148</v>
      </c>
      <c r="I125" s="23"/>
      <c r="J125" s="23"/>
      <c r="K125" s="23"/>
    </row>
    <row r="126">
      <c r="A126" s="9" t="s">
        <v>474</v>
      </c>
      <c r="B126" s="9" t="s">
        <v>475</v>
      </c>
      <c r="C126" s="10" t="s">
        <v>476</v>
      </c>
      <c r="D126" s="12">
        <v>0.003376202606390873</v>
      </c>
      <c r="E126" s="13">
        <v>2237.0</v>
      </c>
      <c r="F126" s="11" t="s">
        <v>14</v>
      </c>
      <c r="G126" s="11" t="s">
        <v>14</v>
      </c>
      <c r="H126" s="11" t="s">
        <v>148</v>
      </c>
      <c r="I126" s="11" t="s">
        <v>148</v>
      </c>
      <c r="J126" s="11"/>
      <c r="K126" s="11"/>
    </row>
    <row r="127">
      <c r="A127" s="9" t="s">
        <v>45</v>
      </c>
      <c r="B127" s="9" t="s">
        <v>46</v>
      </c>
      <c r="C127" s="10" t="s">
        <v>47</v>
      </c>
      <c r="D127" s="12">
        <v>0.003060136525021998</v>
      </c>
      <c r="E127" s="13">
        <v>70515.0</v>
      </c>
      <c r="F127" s="11" t="s">
        <v>14</v>
      </c>
      <c r="G127" s="11" t="s">
        <v>14</v>
      </c>
      <c r="H127" s="11" t="s">
        <v>14</v>
      </c>
      <c r="I127" s="11" t="s">
        <v>14</v>
      </c>
      <c r="J127" s="11"/>
      <c r="K127" s="11"/>
    </row>
    <row r="128">
      <c r="A128" s="9" t="s">
        <v>477</v>
      </c>
      <c r="B128" s="9" t="s">
        <v>478</v>
      </c>
      <c r="C128" s="10" t="s">
        <v>479</v>
      </c>
      <c r="D128" s="12">
        <v>0.002843572883206649</v>
      </c>
      <c r="E128" s="13">
        <v>2.0</v>
      </c>
      <c r="F128" s="16"/>
      <c r="G128" s="11" t="s">
        <v>148</v>
      </c>
      <c r="H128" s="16"/>
      <c r="I128" s="16"/>
      <c r="J128" s="16"/>
      <c r="K128" s="16"/>
    </row>
    <row r="129">
      <c r="A129" s="24" t="s">
        <v>480</v>
      </c>
      <c r="B129" s="24" t="s">
        <v>481</v>
      </c>
      <c r="C129" s="25" t="s">
        <v>482</v>
      </c>
      <c r="D129" s="26">
        <v>0.0028165970243815854</v>
      </c>
      <c r="E129" s="27">
        <v>42917.0</v>
      </c>
      <c r="F129" s="28"/>
      <c r="G129" s="29" t="s">
        <v>14</v>
      </c>
      <c r="H129" s="28"/>
      <c r="I129" s="22" t="s">
        <v>148</v>
      </c>
      <c r="J129" s="22"/>
      <c r="K129" s="22"/>
    </row>
    <row r="130">
      <c r="A130" s="9" t="s">
        <v>48</v>
      </c>
      <c r="B130" s="9" t="s">
        <v>49</v>
      </c>
      <c r="C130" s="10" t="s">
        <v>50</v>
      </c>
      <c r="D130" s="12">
        <v>0.0027586725005669392</v>
      </c>
      <c r="E130" s="13">
        <v>460978.0</v>
      </c>
      <c r="F130" s="11" t="s">
        <v>14</v>
      </c>
      <c r="G130" s="11" t="s">
        <v>14</v>
      </c>
      <c r="H130" s="11" t="s">
        <v>14</v>
      </c>
      <c r="I130" s="11" t="s">
        <v>14</v>
      </c>
      <c r="J130" s="11"/>
      <c r="K130" s="11"/>
    </row>
    <row r="131">
      <c r="A131" s="9" t="s">
        <v>483</v>
      </c>
      <c r="B131" s="9" t="s">
        <v>484</v>
      </c>
      <c r="C131" s="10" t="s">
        <v>485</v>
      </c>
      <c r="D131" s="12">
        <v>0.002720254671434932</v>
      </c>
      <c r="E131" s="13">
        <v>73.0</v>
      </c>
      <c r="F131" s="16"/>
      <c r="G131" s="11" t="s">
        <v>148</v>
      </c>
      <c r="H131" s="16"/>
      <c r="I131" s="16"/>
      <c r="J131" s="16"/>
      <c r="K131" s="16"/>
    </row>
    <row r="132">
      <c r="A132" s="24" t="s">
        <v>486</v>
      </c>
      <c r="B132" s="24" t="s">
        <v>487</v>
      </c>
      <c r="C132" s="25" t="s">
        <v>488</v>
      </c>
      <c r="D132" s="26">
        <v>0.002277079847880324</v>
      </c>
      <c r="E132" s="27">
        <v>2858032.0</v>
      </c>
      <c r="F132" s="28"/>
      <c r="G132" s="29" t="s">
        <v>14</v>
      </c>
      <c r="H132" s="28"/>
      <c r="I132" s="22" t="s">
        <v>148</v>
      </c>
      <c r="J132" s="22"/>
      <c r="K132" s="22"/>
    </row>
    <row r="133">
      <c r="A133" s="9" t="s">
        <v>489</v>
      </c>
      <c r="B133" s="9" t="s">
        <v>490</v>
      </c>
      <c r="C133" s="10" t="s">
        <v>491</v>
      </c>
      <c r="D133" s="12">
        <v>0.002277079847880324</v>
      </c>
      <c r="E133" s="13">
        <v>1007007.0</v>
      </c>
      <c r="F133" s="11" t="s">
        <v>14</v>
      </c>
      <c r="G133" s="11" t="s">
        <v>14</v>
      </c>
      <c r="H133" s="23"/>
      <c r="I133" s="23"/>
      <c r="J133" s="11" t="s">
        <v>148</v>
      </c>
      <c r="K133" s="11"/>
    </row>
    <row r="134">
      <c r="A134" s="9" t="s">
        <v>51</v>
      </c>
      <c r="B134" s="9" t="s">
        <v>52</v>
      </c>
      <c r="C134" s="10" t="s">
        <v>53</v>
      </c>
      <c r="D134" s="12">
        <v>0.0022481388970090415</v>
      </c>
      <c r="E134" s="13">
        <v>3193.0</v>
      </c>
      <c r="F134" s="11" t="s">
        <v>14</v>
      </c>
      <c r="G134" s="11" t="s">
        <v>14</v>
      </c>
      <c r="H134" s="11" t="s">
        <v>14</v>
      </c>
      <c r="I134" s="11" t="s">
        <v>14</v>
      </c>
      <c r="J134" s="11" t="s">
        <v>14</v>
      </c>
      <c r="K134" s="11"/>
    </row>
    <row r="135">
      <c r="A135" s="9" t="s">
        <v>54</v>
      </c>
      <c r="B135" s="9" t="s">
        <v>55</v>
      </c>
      <c r="C135" s="10" t="s">
        <v>56</v>
      </c>
      <c r="D135" s="12">
        <v>0.0021422005537550088</v>
      </c>
      <c r="E135" s="13">
        <v>141888.0</v>
      </c>
      <c r="F135" s="11" t="s">
        <v>14</v>
      </c>
      <c r="G135" s="11" t="s">
        <v>14</v>
      </c>
      <c r="H135" s="11" t="s">
        <v>14</v>
      </c>
      <c r="I135" s="11" t="s">
        <v>14</v>
      </c>
      <c r="J135" s="11" t="s">
        <v>14</v>
      </c>
      <c r="K135" s="11"/>
    </row>
    <row r="136">
      <c r="A136" s="9" t="s">
        <v>492</v>
      </c>
      <c r="B136" s="9" t="s">
        <v>493</v>
      </c>
      <c r="C136" s="10" t="s">
        <v>494</v>
      </c>
      <c r="D136" s="12">
        <v>0.00207121145158379</v>
      </c>
      <c r="E136" s="13">
        <v>447976.0</v>
      </c>
      <c r="F136" s="11" t="s">
        <v>14</v>
      </c>
      <c r="G136" s="11" t="s">
        <v>14</v>
      </c>
      <c r="H136" s="23"/>
      <c r="I136" s="11" t="s">
        <v>148</v>
      </c>
      <c r="J136" s="23"/>
      <c r="K136" s="23"/>
    </row>
    <row r="137">
      <c r="A137" s="9" t="s">
        <v>495</v>
      </c>
      <c r="B137" s="31" t="s">
        <v>496</v>
      </c>
      <c r="C137" s="10"/>
      <c r="D137" s="12">
        <v>0.0020410410831610223</v>
      </c>
      <c r="E137" s="13">
        <v>1.0</v>
      </c>
      <c r="F137" s="16"/>
      <c r="G137" s="11" t="s">
        <v>148</v>
      </c>
      <c r="H137" s="16"/>
      <c r="I137" s="16"/>
      <c r="J137" s="16"/>
      <c r="K137" s="16"/>
    </row>
    <row r="138">
      <c r="A138" s="9" t="s">
        <v>497</v>
      </c>
      <c r="B138" s="9" t="s">
        <v>498</v>
      </c>
      <c r="C138" s="10" t="s">
        <v>499</v>
      </c>
      <c r="D138" s="12">
        <v>0.0020410410831610223</v>
      </c>
      <c r="E138" s="13">
        <v>24871.0</v>
      </c>
      <c r="F138" s="11" t="s">
        <v>14</v>
      </c>
      <c r="G138" s="11" t="s">
        <v>14</v>
      </c>
      <c r="H138" s="23"/>
      <c r="I138" s="23"/>
      <c r="J138" s="16" t="s">
        <v>148</v>
      </c>
      <c r="K138" s="16"/>
    </row>
    <row r="139">
      <c r="A139" s="9" t="s">
        <v>57</v>
      </c>
      <c r="B139" s="9" t="s">
        <v>58</v>
      </c>
      <c r="C139" s="10" t="s">
        <v>59</v>
      </c>
      <c r="D139" s="12">
        <v>0.0019269124496703708</v>
      </c>
      <c r="E139" s="13">
        <v>4801.0</v>
      </c>
      <c r="F139" s="11" t="s">
        <v>14</v>
      </c>
      <c r="G139" s="11" t="s">
        <v>14</v>
      </c>
      <c r="H139" s="11" t="s">
        <v>14</v>
      </c>
      <c r="I139" s="11" t="s">
        <v>14</v>
      </c>
      <c r="J139" s="11" t="s">
        <v>14</v>
      </c>
      <c r="K139" s="11"/>
    </row>
    <row r="140">
      <c r="A140" s="9" t="s">
        <v>500</v>
      </c>
      <c r="B140" s="9" t="s">
        <v>501</v>
      </c>
      <c r="C140" s="10" t="s">
        <v>502</v>
      </c>
      <c r="D140" s="12">
        <v>0.0018346757631492899</v>
      </c>
      <c r="E140" s="13">
        <v>141.0</v>
      </c>
      <c r="F140" s="16"/>
      <c r="G140" s="11" t="s">
        <v>148</v>
      </c>
      <c r="H140" s="16"/>
      <c r="I140" s="16"/>
      <c r="J140" s="16"/>
      <c r="K140" s="16"/>
    </row>
    <row r="141">
      <c r="A141" s="9" t="s">
        <v>503</v>
      </c>
      <c r="B141" s="9" t="s">
        <v>504</v>
      </c>
      <c r="C141" s="10" t="s">
        <v>505</v>
      </c>
      <c r="D141" s="12">
        <v>0.0018338540310093342</v>
      </c>
      <c r="E141" s="13">
        <v>858.0</v>
      </c>
      <c r="F141" s="16"/>
      <c r="G141" s="11" t="s">
        <v>148</v>
      </c>
      <c r="H141" s="16"/>
      <c r="I141" s="16"/>
      <c r="J141" s="16"/>
      <c r="K141" s="16"/>
    </row>
    <row r="142">
      <c r="A142" s="9" t="s">
        <v>60</v>
      </c>
      <c r="B142" s="9" t="s">
        <v>61</v>
      </c>
      <c r="C142" s="10" t="s">
        <v>62</v>
      </c>
      <c r="D142" s="12">
        <v>0.0018322073341366122</v>
      </c>
      <c r="E142" s="13">
        <v>31787.0</v>
      </c>
      <c r="F142" s="11" t="s">
        <v>14</v>
      </c>
      <c r="G142" s="11" t="s">
        <v>14</v>
      </c>
      <c r="H142" s="11" t="s">
        <v>14</v>
      </c>
      <c r="I142" s="11" t="s">
        <v>14</v>
      </c>
      <c r="J142" s="11" t="s">
        <v>14</v>
      </c>
      <c r="K142" s="11"/>
    </row>
    <row r="143">
      <c r="A143" s="9" t="s">
        <v>506</v>
      </c>
      <c r="B143" s="9" t="s">
        <v>507</v>
      </c>
      <c r="C143" s="10" t="s">
        <v>508</v>
      </c>
      <c r="D143" s="12">
        <v>0.0018309406442350502</v>
      </c>
      <c r="E143" s="13">
        <v>36018.0</v>
      </c>
      <c r="F143" s="11" t="s">
        <v>14</v>
      </c>
      <c r="G143" s="11" t="s">
        <v>14</v>
      </c>
      <c r="H143" s="23"/>
      <c r="I143" s="11" t="s">
        <v>148</v>
      </c>
      <c r="J143" s="23"/>
      <c r="K143" s="23"/>
    </row>
    <row r="144">
      <c r="A144" s="9" t="s">
        <v>509</v>
      </c>
      <c r="B144" s="9" t="s">
        <v>510</v>
      </c>
      <c r="C144" s="10" t="s">
        <v>511</v>
      </c>
      <c r="D144" s="12">
        <v>0.0018050023184417207</v>
      </c>
      <c r="E144" s="13">
        <v>59097.0</v>
      </c>
      <c r="F144" s="11" t="s">
        <v>14</v>
      </c>
      <c r="G144" s="11" t="s">
        <v>14</v>
      </c>
      <c r="H144" s="23"/>
      <c r="I144" s="11" t="s">
        <v>148</v>
      </c>
      <c r="J144" s="23"/>
      <c r="K144" s="23"/>
    </row>
    <row r="145">
      <c r="A145" s="9" t="s">
        <v>512</v>
      </c>
      <c r="B145" s="9" t="s">
        <v>513</v>
      </c>
      <c r="C145" s="10" t="s">
        <v>514</v>
      </c>
      <c r="D145" s="12">
        <v>0.0017544225831447272</v>
      </c>
      <c r="E145" s="13">
        <v>189776.0</v>
      </c>
      <c r="F145" s="11" t="s">
        <v>14</v>
      </c>
      <c r="G145" s="11" t="s">
        <v>14</v>
      </c>
      <c r="H145" s="23"/>
      <c r="I145" s="11" t="s">
        <v>148</v>
      </c>
      <c r="J145" s="23"/>
      <c r="K145" s="23"/>
    </row>
    <row r="146">
      <c r="A146" s="24" t="s">
        <v>515</v>
      </c>
      <c r="B146" s="24" t="s">
        <v>516</v>
      </c>
      <c r="C146" s="25" t="s">
        <v>517</v>
      </c>
      <c r="D146" s="26">
        <v>0.001647155789151581</v>
      </c>
      <c r="E146" s="27">
        <v>4043.0</v>
      </c>
      <c r="F146" s="28"/>
      <c r="G146" s="29" t="s">
        <v>14</v>
      </c>
      <c r="H146" s="28"/>
      <c r="I146" s="22" t="s">
        <v>148</v>
      </c>
      <c r="J146" s="22"/>
      <c r="K146" s="22"/>
    </row>
    <row r="147">
      <c r="A147" s="9" t="s">
        <v>518</v>
      </c>
      <c r="B147" s="9" t="s">
        <v>519</v>
      </c>
      <c r="C147" s="10" t="s">
        <v>520</v>
      </c>
      <c r="D147" s="12">
        <v>0.0015387931852996505</v>
      </c>
      <c r="E147" s="13">
        <v>2615878.0</v>
      </c>
      <c r="F147" s="11" t="s">
        <v>14</v>
      </c>
      <c r="G147" s="11" t="s">
        <v>14</v>
      </c>
      <c r="H147" s="23"/>
      <c r="I147" s="11" t="s">
        <v>521</v>
      </c>
      <c r="J147" s="23"/>
      <c r="K147" s="23"/>
    </row>
    <row r="148">
      <c r="A148" s="9" t="s">
        <v>522</v>
      </c>
      <c r="B148" s="9" t="s">
        <v>523</v>
      </c>
      <c r="C148" s="10" t="s">
        <v>524</v>
      </c>
      <c r="D148" s="12">
        <v>0.0015032986342140412</v>
      </c>
      <c r="E148" s="13">
        <v>7576346.0</v>
      </c>
      <c r="F148" s="11" t="s">
        <v>14</v>
      </c>
      <c r="G148" s="11" t="s">
        <v>14</v>
      </c>
      <c r="H148" s="23"/>
      <c r="I148" s="11" t="s">
        <v>521</v>
      </c>
      <c r="J148" s="23"/>
      <c r="K148" s="23"/>
    </row>
    <row r="149">
      <c r="A149" s="9" t="s">
        <v>63</v>
      </c>
      <c r="B149" s="9" t="s">
        <v>64</v>
      </c>
      <c r="C149" s="10" t="s">
        <v>65</v>
      </c>
      <c r="D149" s="12">
        <v>0.001467804083128432</v>
      </c>
      <c r="E149" s="13">
        <v>1511945.0</v>
      </c>
      <c r="F149" s="11" t="s">
        <v>14</v>
      </c>
      <c r="G149" s="11" t="s">
        <v>14</v>
      </c>
      <c r="H149" s="11" t="s">
        <v>14</v>
      </c>
      <c r="I149" s="11" t="s">
        <v>14</v>
      </c>
      <c r="J149" s="11" t="s">
        <v>14</v>
      </c>
      <c r="K149" s="11"/>
    </row>
    <row r="150">
      <c r="A150" s="9" t="s">
        <v>525</v>
      </c>
      <c r="B150" s="9" t="s">
        <v>526</v>
      </c>
      <c r="C150" s="10" t="s">
        <v>527</v>
      </c>
      <c r="D150" s="12">
        <v>0.001467804083128432</v>
      </c>
      <c r="E150" s="13">
        <v>3407.0</v>
      </c>
      <c r="F150" s="11" t="s">
        <v>14</v>
      </c>
      <c r="G150" s="11" t="s">
        <v>14</v>
      </c>
      <c r="H150" s="11" t="s">
        <v>148</v>
      </c>
      <c r="I150" s="23"/>
      <c r="J150" s="23"/>
      <c r="K150" s="23"/>
    </row>
    <row r="151">
      <c r="A151" s="9" t="s">
        <v>528</v>
      </c>
      <c r="B151" s="9" t="s">
        <v>529</v>
      </c>
      <c r="C151" s="10" t="s">
        <v>530</v>
      </c>
      <c r="D151" s="12">
        <v>0.001467804083128432</v>
      </c>
      <c r="E151" s="13">
        <v>108.0</v>
      </c>
      <c r="F151" s="16"/>
      <c r="G151" s="11" t="s">
        <v>148</v>
      </c>
      <c r="H151" s="16"/>
      <c r="I151" s="16"/>
      <c r="J151" s="16"/>
      <c r="K151" s="16"/>
    </row>
    <row r="152">
      <c r="A152" s="9" t="s">
        <v>531</v>
      </c>
      <c r="B152" s="9" t="s">
        <v>532</v>
      </c>
      <c r="C152" s="10" t="s">
        <v>533</v>
      </c>
      <c r="D152" s="12">
        <v>0.001467804083128432</v>
      </c>
      <c r="E152" s="13">
        <v>270.0</v>
      </c>
      <c r="F152" s="16"/>
      <c r="G152" s="11" t="s">
        <v>148</v>
      </c>
      <c r="H152" s="16"/>
      <c r="I152" s="16"/>
      <c r="J152" s="16"/>
      <c r="K152" s="16"/>
    </row>
    <row r="153">
      <c r="A153" s="9" t="s">
        <v>534</v>
      </c>
      <c r="B153" s="9" t="s">
        <v>535</v>
      </c>
      <c r="C153" s="10" t="s">
        <v>536</v>
      </c>
      <c r="D153" s="12">
        <v>0.001467804083128432</v>
      </c>
      <c r="E153" s="13">
        <v>86498.0</v>
      </c>
      <c r="F153" s="11" t="s">
        <v>14</v>
      </c>
      <c r="G153" s="11" t="s">
        <v>14</v>
      </c>
      <c r="H153" s="23"/>
      <c r="I153" s="11" t="s">
        <v>521</v>
      </c>
      <c r="J153" s="23"/>
      <c r="K153" s="23"/>
    </row>
    <row r="154">
      <c r="A154" s="9" t="s">
        <v>537</v>
      </c>
      <c r="B154" s="9" t="s">
        <v>538</v>
      </c>
      <c r="C154" s="10"/>
      <c r="D154" s="12">
        <v>0.001467804083128432</v>
      </c>
      <c r="E154" s="13">
        <v>5.0</v>
      </c>
      <c r="F154" s="16"/>
      <c r="G154" s="11" t="s">
        <v>148</v>
      </c>
      <c r="H154" s="16"/>
      <c r="I154" s="16"/>
      <c r="J154" s="16"/>
      <c r="K154" s="16"/>
    </row>
    <row r="155">
      <c r="A155" s="24" t="s">
        <v>539</v>
      </c>
      <c r="B155" s="24" t="s">
        <v>540</v>
      </c>
      <c r="C155" s="25" t="s">
        <v>541</v>
      </c>
      <c r="D155" s="26">
        <v>0.001467804083128432</v>
      </c>
      <c r="E155" s="27">
        <v>16612.0</v>
      </c>
      <c r="F155" s="28"/>
      <c r="G155" s="29" t="s">
        <v>14</v>
      </c>
      <c r="H155" s="28"/>
      <c r="I155" s="22" t="s">
        <v>148</v>
      </c>
      <c r="J155" s="22"/>
      <c r="K155" s="22"/>
    </row>
    <row r="156">
      <c r="A156" s="9" t="s">
        <v>66</v>
      </c>
      <c r="B156" s="9" t="s">
        <v>67</v>
      </c>
      <c r="C156" s="10" t="s">
        <v>68</v>
      </c>
      <c r="D156" s="12">
        <v>0.001467804083128432</v>
      </c>
      <c r="E156" s="13">
        <v>4756.0</v>
      </c>
      <c r="F156" s="11" t="s">
        <v>14</v>
      </c>
      <c r="G156" s="11" t="s">
        <v>14</v>
      </c>
      <c r="H156" s="11" t="s">
        <v>14</v>
      </c>
      <c r="I156" s="11" t="s">
        <v>14</v>
      </c>
      <c r="J156" s="11" t="s">
        <v>14</v>
      </c>
      <c r="K156" s="11"/>
    </row>
    <row r="157">
      <c r="A157" s="9" t="s">
        <v>542</v>
      </c>
      <c r="B157" s="9" t="s">
        <v>543</v>
      </c>
      <c r="C157" s="10" t="s">
        <v>544</v>
      </c>
      <c r="D157" s="12">
        <v>0.001467804083128432</v>
      </c>
      <c r="E157" s="13">
        <v>35703.0</v>
      </c>
      <c r="F157" s="11" t="s">
        <v>14</v>
      </c>
      <c r="G157" s="11" t="s">
        <v>14</v>
      </c>
      <c r="H157" s="9"/>
      <c r="I157" s="11" t="s">
        <v>148</v>
      </c>
      <c r="J157" s="23"/>
      <c r="K157" s="23"/>
    </row>
    <row r="158">
      <c r="A158" s="9" t="s">
        <v>69</v>
      </c>
      <c r="B158" s="9" t="s">
        <v>70</v>
      </c>
      <c r="C158" s="10" t="s">
        <v>71</v>
      </c>
      <c r="D158" s="12">
        <v>0.001467804083128432</v>
      </c>
      <c r="E158" s="13">
        <v>449484.0</v>
      </c>
      <c r="F158" s="11" t="s">
        <v>14</v>
      </c>
      <c r="G158" s="11" t="s">
        <v>14</v>
      </c>
      <c r="H158" s="11" t="s">
        <v>14</v>
      </c>
      <c r="I158" s="11" t="s">
        <v>14</v>
      </c>
      <c r="J158" s="11" t="s">
        <v>14</v>
      </c>
      <c r="K158" s="11"/>
    </row>
    <row r="159">
      <c r="A159" s="9" t="s">
        <v>545</v>
      </c>
      <c r="B159" s="9" t="s">
        <v>546</v>
      </c>
      <c r="C159" s="10" t="s">
        <v>547</v>
      </c>
      <c r="D159" s="12">
        <v>0.001467804083128432</v>
      </c>
      <c r="E159" s="13">
        <v>301.0</v>
      </c>
      <c r="F159" s="16"/>
      <c r="G159" s="11" t="s">
        <v>148</v>
      </c>
      <c r="H159" s="16"/>
      <c r="I159" s="16"/>
      <c r="J159" s="16"/>
      <c r="K159" s="16"/>
    </row>
    <row r="160">
      <c r="A160" s="9" t="s">
        <v>548</v>
      </c>
      <c r="B160" s="9" t="s">
        <v>549</v>
      </c>
      <c r="C160" s="10" t="s">
        <v>550</v>
      </c>
      <c r="D160" s="12">
        <v>0.001467804083128432</v>
      </c>
      <c r="E160" s="13">
        <v>43.0</v>
      </c>
      <c r="F160" s="16"/>
      <c r="G160" s="11" t="s">
        <v>148</v>
      </c>
      <c r="H160" s="16"/>
      <c r="I160" s="16"/>
      <c r="J160" s="16"/>
      <c r="K160" s="16"/>
    </row>
    <row r="161">
      <c r="A161" s="9" t="s">
        <v>551</v>
      </c>
      <c r="B161" s="9" t="s">
        <v>552</v>
      </c>
      <c r="C161" s="10" t="s">
        <v>553</v>
      </c>
      <c r="D161" s="12">
        <v>0.001467804083128432</v>
      </c>
      <c r="E161" s="13">
        <v>198.0</v>
      </c>
      <c r="F161" s="16"/>
      <c r="G161" s="11" t="s">
        <v>148</v>
      </c>
      <c r="H161" s="16"/>
      <c r="I161" s="16"/>
      <c r="J161" s="16"/>
      <c r="K161" s="16"/>
    </row>
    <row r="162">
      <c r="A162" s="9" t="s">
        <v>554</v>
      </c>
      <c r="B162" s="9" t="s">
        <v>554</v>
      </c>
      <c r="C162" s="10"/>
      <c r="D162" s="12">
        <v>0.001467804083128432</v>
      </c>
      <c r="E162" s="13">
        <v>165.0</v>
      </c>
      <c r="F162" s="16"/>
      <c r="G162" s="11" t="s">
        <v>148</v>
      </c>
      <c r="H162" s="16"/>
      <c r="I162" s="16"/>
      <c r="J162" s="16"/>
      <c r="K162" s="16"/>
    </row>
    <row r="163">
      <c r="A163" s="24" t="s">
        <v>555</v>
      </c>
      <c r="B163" s="24" t="s">
        <v>556</v>
      </c>
      <c r="C163" s="25" t="s">
        <v>557</v>
      </c>
      <c r="D163" s="26">
        <v>0.001467804083128432</v>
      </c>
      <c r="E163" s="27">
        <v>535073.0</v>
      </c>
      <c r="F163" s="28"/>
      <c r="G163" s="29" t="s">
        <v>14</v>
      </c>
      <c r="H163" s="28"/>
      <c r="I163" s="22" t="s">
        <v>148</v>
      </c>
      <c r="J163" s="22"/>
      <c r="K163" s="22"/>
    </row>
    <row r="164">
      <c r="A164" s="9" t="s">
        <v>558</v>
      </c>
      <c r="B164" s="9" t="s">
        <v>559</v>
      </c>
      <c r="C164" s="10" t="s">
        <v>560</v>
      </c>
      <c r="D164" s="12">
        <v>0.001467804083128432</v>
      </c>
      <c r="E164" s="13">
        <v>4636.0</v>
      </c>
      <c r="F164" s="11" t="s">
        <v>14</v>
      </c>
      <c r="G164" s="11" t="s">
        <v>14</v>
      </c>
      <c r="H164" s="23"/>
      <c r="I164" s="23"/>
      <c r="J164" s="11" t="s">
        <v>148</v>
      </c>
      <c r="K164" s="11"/>
    </row>
    <row r="165">
      <c r="A165" s="9" t="s">
        <v>561</v>
      </c>
      <c r="B165" s="9" t="s">
        <v>562</v>
      </c>
      <c r="C165" s="10" t="s">
        <v>563</v>
      </c>
      <c r="D165" s="12">
        <v>0.001467804083128432</v>
      </c>
      <c r="E165" s="13">
        <v>4802.0</v>
      </c>
      <c r="F165" s="11" t="s">
        <v>14</v>
      </c>
      <c r="G165" s="11" t="s">
        <v>14</v>
      </c>
      <c r="H165" s="23"/>
      <c r="I165" s="11" t="s">
        <v>148</v>
      </c>
      <c r="J165" s="23"/>
      <c r="K165" s="23"/>
    </row>
    <row r="166">
      <c r="A166" s="9" t="s">
        <v>564</v>
      </c>
      <c r="B166" s="9" t="s">
        <v>565</v>
      </c>
      <c r="C166" s="10" t="s">
        <v>566</v>
      </c>
      <c r="D166" s="12">
        <v>0.001467804083128432</v>
      </c>
      <c r="E166" s="13">
        <v>267788.0</v>
      </c>
      <c r="F166" s="11" t="s">
        <v>14</v>
      </c>
      <c r="G166" s="11" t="s">
        <v>14</v>
      </c>
      <c r="H166" s="11" t="s">
        <v>14</v>
      </c>
      <c r="I166" s="11" t="s">
        <v>148</v>
      </c>
      <c r="J166" s="11" t="s">
        <v>14</v>
      </c>
      <c r="K166" s="11"/>
    </row>
    <row r="167">
      <c r="A167" s="24" t="s">
        <v>567</v>
      </c>
      <c r="B167" s="24" t="s">
        <v>568</v>
      </c>
      <c r="C167" s="25" t="s">
        <v>569</v>
      </c>
      <c r="D167" s="26">
        <v>0.001467804083128432</v>
      </c>
      <c r="E167" s="27">
        <v>2536959.0</v>
      </c>
      <c r="F167" s="28"/>
      <c r="G167" s="29" t="s">
        <v>14</v>
      </c>
      <c r="H167" s="28"/>
      <c r="I167" s="22" t="s">
        <v>148</v>
      </c>
      <c r="J167" s="22"/>
      <c r="K167" s="22"/>
    </row>
    <row r="168">
      <c r="A168" s="9" t="s">
        <v>570</v>
      </c>
      <c r="B168" s="9" t="s">
        <v>571</v>
      </c>
      <c r="C168" s="10" t="s">
        <v>572</v>
      </c>
      <c r="D168" s="12">
        <v>0.001467804083128432</v>
      </c>
      <c r="E168" s="13">
        <v>595.0</v>
      </c>
      <c r="F168" s="16"/>
      <c r="G168" s="11" t="s">
        <v>148</v>
      </c>
      <c r="H168" s="16"/>
      <c r="I168" s="16"/>
      <c r="J168" s="16"/>
      <c r="K168" s="16"/>
    </row>
    <row r="169">
      <c r="A169" s="24" t="s">
        <v>573</v>
      </c>
      <c r="B169" s="24" t="s">
        <v>574</v>
      </c>
      <c r="C169" s="25" t="s">
        <v>575</v>
      </c>
      <c r="D169" s="26">
        <v>0.001467804083128432</v>
      </c>
      <c r="E169" s="27">
        <v>34534.0</v>
      </c>
      <c r="F169" s="28"/>
      <c r="G169" s="29" t="s">
        <v>14</v>
      </c>
      <c r="H169" s="28"/>
      <c r="I169" s="22" t="s">
        <v>148</v>
      </c>
      <c r="J169" s="22"/>
      <c r="K169" s="22"/>
    </row>
    <row r="170">
      <c r="A170" s="9" t="s">
        <v>576</v>
      </c>
      <c r="B170" s="9" t="s">
        <v>577</v>
      </c>
      <c r="C170" s="10" t="s">
        <v>578</v>
      </c>
      <c r="D170" s="12">
        <v>0.001467804083128432</v>
      </c>
      <c r="E170" s="13">
        <v>1011.0</v>
      </c>
      <c r="F170" s="11" t="s">
        <v>14</v>
      </c>
      <c r="G170" s="11" t="s">
        <v>14</v>
      </c>
      <c r="H170" s="23"/>
      <c r="I170" s="11" t="s">
        <v>148</v>
      </c>
      <c r="J170" s="23"/>
      <c r="K170" s="23"/>
    </row>
    <row r="171">
      <c r="A171" s="9" t="s">
        <v>579</v>
      </c>
      <c r="B171" s="9" t="s">
        <v>580</v>
      </c>
      <c r="C171" s="10" t="s">
        <v>581</v>
      </c>
      <c r="D171" s="12">
        <v>0.001467804083128432</v>
      </c>
      <c r="E171" s="13">
        <v>674.0</v>
      </c>
      <c r="F171" s="16"/>
      <c r="G171" s="11" t="s">
        <v>148</v>
      </c>
      <c r="H171" s="16"/>
      <c r="I171" s="16"/>
      <c r="J171" s="16"/>
      <c r="K171" s="16"/>
    </row>
    <row r="172">
      <c r="A172" s="24" t="s">
        <v>582</v>
      </c>
      <c r="B172" s="24" t="s">
        <v>583</v>
      </c>
      <c r="C172" s="25" t="s">
        <v>584</v>
      </c>
      <c r="D172" s="26">
        <v>0.001467804083128432</v>
      </c>
      <c r="E172" s="27">
        <v>6118.0</v>
      </c>
      <c r="F172" s="28"/>
      <c r="G172" s="29" t="s">
        <v>14</v>
      </c>
      <c r="H172" s="28"/>
      <c r="I172" s="22" t="s">
        <v>148</v>
      </c>
      <c r="J172" s="22"/>
      <c r="K172" s="22"/>
    </row>
    <row r="173">
      <c r="A173" s="9" t="s">
        <v>585</v>
      </c>
      <c r="B173" s="9" t="s">
        <v>586</v>
      </c>
      <c r="C173" s="10" t="s">
        <v>587</v>
      </c>
      <c r="D173" s="12">
        <v>0.001467804083128432</v>
      </c>
      <c r="E173" s="13">
        <v>39493.0</v>
      </c>
      <c r="F173" s="11" t="s">
        <v>14</v>
      </c>
      <c r="G173" s="11" t="s">
        <v>14</v>
      </c>
      <c r="H173" s="23"/>
      <c r="I173" s="11" t="s">
        <v>14</v>
      </c>
      <c r="J173" s="11" t="s">
        <v>148</v>
      </c>
      <c r="K173" s="11"/>
    </row>
    <row r="174">
      <c r="A174" s="9" t="s">
        <v>588</v>
      </c>
      <c r="B174" s="9" t="s">
        <v>589</v>
      </c>
      <c r="C174" s="10"/>
      <c r="D174" s="12">
        <v>0.001467804083128432</v>
      </c>
      <c r="E174" s="13">
        <v>38.0</v>
      </c>
      <c r="F174" s="16"/>
      <c r="G174" s="11" t="s">
        <v>148</v>
      </c>
      <c r="H174" s="16"/>
      <c r="I174" s="16"/>
      <c r="J174" s="16"/>
      <c r="K174" s="16"/>
    </row>
    <row r="175">
      <c r="A175" s="9" t="s">
        <v>72</v>
      </c>
      <c r="B175" s="9" t="s">
        <v>73</v>
      </c>
      <c r="C175" s="10" t="s">
        <v>74</v>
      </c>
      <c r="D175" s="12">
        <v>0.001467804083128432</v>
      </c>
      <c r="E175" s="13">
        <v>150505.0</v>
      </c>
      <c r="F175" s="11" t="s">
        <v>14</v>
      </c>
      <c r="G175" s="11" t="s">
        <v>14</v>
      </c>
      <c r="H175" s="11" t="s">
        <v>14</v>
      </c>
      <c r="I175" s="11" t="s">
        <v>14</v>
      </c>
      <c r="J175" s="11" t="s">
        <v>14</v>
      </c>
      <c r="K175" s="11"/>
    </row>
    <row r="176">
      <c r="A176" s="9" t="s">
        <v>590</v>
      </c>
      <c r="B176" s="9" t="s">
        <v>591</v>
      </c>
      <c r="C176" s="10" t="s">
        <v>592</v>
      </c>
      <c r="D176" s="12">
        <v>0.001467804083128432</v>
      </c>
      <c r="E176" s="13">
        <v>375.0</v>
      </c>
      <c r="F176" s="16"/>
      <c r="G176" s="11" t="s">
        <v>148</v>
      </c>
      <c r="H176" s="16"/>
      <c r="I176" s="16"/>
      <c r="J176" s="16"/>
      <c r="K176" s="16"/>
    </row>
    <row r="177">
      <c r="A177" s="24" t="s">
        <v>593</v>
      </c>
      <c r="B177" s="24" t="s">
        <v>594</v>
      </c>
      <c r="C177" s="25" t="s">
        <v>595</v>
      </c>
      <c r="D177" s="26">
        <v>0.001467804083128432</v>
      </c>
      <c r="E177" s="27">
        <v>2286.0</v>
      </c>
      <c r="F177" s="28"/>
      <c r="G177" s="29" t="s">
        <v>14</v>
      </c>
      <c r="H177" s="28"/>
      <c r="I177" s="22" t="s">
        <v>148</v>
      </c>
      <c r="J177" s="22"/>
      <c r="K177" s="22"/>
    </row>
    <row r="178">
      <c r="A178" s="9" t="s">
        <v>75</v>
      </c>
      <c r="B178" s="9" t="s">
        <v>76</v>
      </c>
      <c r="C178" s="10" t="s">
        <v>77</v>
      </c>
      <c r="D178" s="12">
        <v>0.001467804083128432</v>
      </c>
      <c r="E178" s="13">
        <v>6469.0</v>
      </c>
      <c r="F178" s="11" t="s">
        <v>14</v>
      </c>
      <c r="G178" s="11" t="s">
        <v>14</v>
      </c>
      <c r="H178" s="11" t="s">
        <v>14</v>
      </c>
      <c r="I178" s="11" t="s">
        <v>14</v>
      </c>
      <c r="J178" s="11" t="s">
        <v>14</v>
      </c>
      <c r="K178" s="11" t="s">
        <v>14</v>
      </c>
    </row>
    <row r="179">
      <c r="A179" s="9" t="s">
        <v>596</v>
      </c>
      <c r="B179" s="9" t="s">
        <v>597</v>
      </c>
      <c r="C179" s="10"/>
      <c r="D179" s="12">
        <v>0.001467804083128432</v>
      </c>
      <c r="E179" s="13">
        <v>0.0</v>
      </c>
      <c r="F179" s="16"/>
      <c r="G179" s="11" t="s">
        <v>148</v>
      </c>
      <c r="H179" s="16"/>
      <c r="I179" s="16"/>
      <c r="J179" s="16"/>
      <c r="K179" s="16"/>
    </row>
    <row r="180">
      <c r="A180" s="9" t="s">
        <v>598</v>
      </c>
      <c r="B180" s="9" t="s">
        <v>599</v>
      </c>
      <c r="C180" s="10" t="s">
        <v>600</v>
      </c>
      <c r="D180" s="12">
        <v>0.001467804083128432</v>
      </c>
      <c r="E180" s="13">
        <v>266.0</v>
      </c>
      <c r="F180" s="16"/>
      <c r="G180" s="11" t="s">
        <v>148</v>
      </c>
      <c r="H180" s="16"/>
      <c r="I180" s="16"/>
      <c r="J180" s="16"/>
      <c r="K180" s="16"/>
    </row>
    <row r="181">
      <c r="A181" s="24" t="s">
        <v>601</v>
      </c>
      <c r="B181" s="24" t="s">
        <v>602</v>
      </c>
      <c r="C181" s="25"/>
      <c r="D181" s="26">
        <v>0.001467804083128432</v>
      </c>
      <c r="E181" s="27">
        <v>1181486.0</v>
      </c>
      <c r="F181" s="28"/>
      <c r="G181" s="29" t="s">
        <v>14</v>
      </c>
      <c r="H181" s="28"/>
      <c r="I181" s="22" t="s">
        <v>148</v>
      </c>
      <c r="J181" s="22"/>
      <c r="K181" s="22"/>
    </row>
    <row r="182">
      <c r="A182" s="9" t="s">
        <v>603</v>
      </c>
      <c r="B182" s="9" t="s">
        <v>604</v>
      </c>
      <c r="C182" s="10" t="s">
        <v>605</v>
      </c>
      <c r="D182" s="12">
        <v>0.001467804083128432</v>
      </c>
      <c r="E182" s="13">
        <v>275.0</v>
      </c>
      <c r="F182" s="16"/>
      <c r="G182" s="11" t="s">
        <v>148</v>
      </c>
      <c r="H182" s="16"/>
      <c r="I182" s="16"/>
      <c r="J182" s="16"/>
      <c r="K182" s="16"/>
    </row>
    <row r="183">
      <c r="A183" s="9" t="s">
        <v>606</v>
      </c>
      <c r="B183" s="9" t="s">
        <v>607</v>
      </c>
      <c r="C183" s="10" t="s">
        <v>608</v>
      </c>
      <c r="D183" s="12">
        <v>0.001467804083128432</v>
      </c>
      <c r="E183" s="13">
        <v>95.0</v>
      </c>
      <c r="F183" s="16"/>
      <c r="G183" s="11" t="s">
        <v>148</v>
      </c>
      <c r="H183" s="16"/>
      <c r="I183" s="16"/>
      <c r="J183" s="16"/>
      <c r="K183" s="16"/>
    </row>
    <row r="184">
      <c r="A184" s="9" t="s">
        <v>609</v>
      </c>
      <c r="B184" s="9" t="s">
        <v>610</v>
      </c>
      <c r="C184" s="10"/>
      <c r="D184" s="12">
        <v>0.001467804083128432</v>
      </c>
      <c r="E184" s="13">
        <v>0.0</v>
      </c>
      <c r="F184" s="16"/>
      <c r="G184" s="11" t="s">
        <v>148</v>
      </c>
      <c r="H184" s="16"/>
      <c r="I184" s="16"/>
      <c r="J184" s="16"/>
      <c r="K184" s="16"/>
    </row>
    <row r="185">
      <c r="A185" s="9" t="s">
        <v>611</v>
      </c>
      <c r="B185" s="9" t="s">
        <v>612</v>
      </c>
      <c r="C185" s="10" t="s">
        <v>613</v>
      </c>
      <c r="D185" s="12">
        <v>0.001467804083128432</v>
      </c>
      <c r="E185" s="13">
        <v>6.0</v>
      </c>
      <c r="F185" s="16"/>
      <c r="G185" s="11" t="s">
        <v>148</v>
      </c>
      <c r="H185" s="16"/>
      <c r="I185" s="16"/>
      <c r="J185" s="16"/>
      <c r="K185" s="16"/>
    </row>
    <row r="186">
      <c r="A186" s="9" t="s">
        <v>614</v>
      </c>
      <c r="B186" s="9" t="s">
        <v>614</v>
      </c>
      <c r="C186" s="10" t="s">
        <v>615</v>
      </c>
      <c r="D186" s="12">
        <v>0.001467804083128432</v>
      </c>
      <c r="E186" s="13">
        <v>53.0</v>
      </c>
      <c r="F186" s="16"/>
      <c r="G186" s="11" t="s">
        <v>148</v>
      </c>
      <c r="H186" s="16"/>
      <c r="I186" s="16"/>
      <c r="J186" s="16"/>
      <c r="K186" s="16"/>
    </row>
    <row r="187">
      <c r="A187" s="9" t="s">
        <v>616</v>
      </c>
      <c r="B187" s="9" t="s">
        <v>617</v>
      </c>
      <c r="C187" s="10"/>
      <c r="D187" s="12">
        <v>0.001467804083128432</v>
      </c>
      <c r="E187" s="13">
        <v>313.0</v>
      </c>
      <c r="F187" s="16"/>
      <c r="G187" s="11" t="s">
        <v>148</v>
      </c>
      <c r="H187" s="16"/>
      <c r="I187" s="16"/>
      <c r="J187" s="16"/>
      <c r="K187" s="16"/>
    </row>
    <row r="188">
      <c r="A188" s="9" t="s">
        <v>618</v>
      </c>
      <c r="B188" s="9" t="s">
        <v>619</v>
      </c>
      <c r="C188" s="10" t="s">
        <v>620</v>
      </c>
      <c r="D188" s="12">
        <v>0.001467804083128432</v>
      </c>
      <c r="E188" s="13">
        <v>7368.0</v>
      </c>
      <c r="F188" s="11" t="s">
        <v>14</v>
      </c>
      <c r="G188" s="11" t="s">
        <v>14</v>
      </c>
      <c r="H188" s="11" t="s">
        <v>14</v>
      </c>
      <c r="I188" s="11" t="s">
        <v>14</v>
      </c>
      <c r="J188" s="11" t="s">
        <v>14</v>
      </c>
      <c r="K188" s="11" t="s">
        <v>148</v>
      </c>
    </row>
    <row r="189">
      <c r="A189" s="9" t="s">
        <v>621</v>
      </c>
      <c r="B189" s="9" t="s">
        <v>622</v>
      </c>
      <c r="C189" s="10" t="s">
        <v>623</v>
      </c>
      <c r="D189" s="12">
        <v>0.001467804083128432</v>
      </c>
      <c r="E189" s="13">
        <v>177.0</v>
      </c>
      <c r="F189" s="16"/>
      <c r="G189" s="11" t="s">
        <v>148</v>
      </c>
      <c r="H189" s="16"/>
      <c r="I189" s="16"/>
      <c r="J189" s="16"/>
      <c r="K189" s="16"/>
    </row>
    <row r="190">
      <c r="A190" s="24" t="s">
        <v>624</v>
      </c>
      <c r="B190" s="24" t="s">
        <v>625</v>
      </c>
      <c r="C190" s="25" t="s">
        <v>626</v>
      </c>
      <c r="D190" s="26">
        <v>0.001467804083128432</v>
      </c>
      <c r="E190" s="27">
        <v>1565.0</v>
      </c>
      <c r="F190" s="28"/>
      <c r="G190" s="29" t="s">
        <v>14</v>
      </c>
      <c r="H190" s="28"/>
      <c r="I190" s="22" t="s">
        <v>148</v>
      </c>
      <c r="J190" s="22"/>
      <c r="K190" s="22"/>
    </row>
    <row r="191">
      <c r="A191" s="9" t="s">
        <v>627</v>
      </c>
      <c r="B191" s="9" t="s">
        <v>628</v>
      </c>
      <c r="C191" s="10" t="s">
        <v>629</v>
      </c>
      <c r="D191" s="12">
        <v>0.001467804083128432</v>
      </c>
      <c r="E191" s="13">
        <v>688.0</v>
      </c>
      <c r="F191" s="16"/>
      <c r="G191" s="11" t="s">
        <v>148</v>
      </c>
      <c r="H191" s="16"/>
      <c r="I191" s="16"/>
      <c r="J191" s="16"/>
      <c r="K191" s="16"/>
    </row>
    <row r="192">
      <c r="A192" s="9" t="s">
        <v>78</v>
      </c>
      <c r="B192" s="9" t="s">
        <v>79</v>
      </c>
      <c r="C192" s="10" t="s">
        <v>80</v>
      </c>
      <c r="D192" s="12">
        <v>0.001467804083128432</v>
      </c>
      <c r="E192" s="13">
        <v>51628.0</v>
      </c>
      <c r="F192" s="11" t="s">
        <v>14</v>
      </c>
      <c r="G192" s="11" t="s">
        <v>14</v>
      </c>
      <c r="H192" s="11" t="s">
        <v>14</v>
      </c>
      <c r="I192" s="11" t="s">
        <v>14</v>
      </c>
      <c r="J192" s="11" t="s">
        <v>14</v>
      </c>
      <c r="K192" s="11" t="s">
        <v>14</v>
      </c>
    </row>
    <row r="193">
      <c r="A193" s="24" t="s">
        <v>630</v>
      </c>
      <c r="B193" s="24" t="s">
        <v>631</v>
      </c>
      <c r="C193" s="25" t="s">
        <v>632</v>
      </c>
      <c r="D193" s="26">
        <v>0.0013520792449735755</v>
      </c>
      <c r="E193" s="27">
        <v>91066.0</v>
      </c>
      <c r="F193" s="28"/>
      <c r="G193" s="29" t="s">
        <v>14</v>
      </c>
      <c r="H193" s="28"/>
      <c r="I193" s="22" t="s">
        <v>148</v>
      </c>
      <c r="J193" s="22"/>
      <c r="K193" s="22"/>
    </row>
    <row r="194">
      <c r="A194" s="24" t="s">
        <v>633</v>
      </c>
      <c r="B194" s="24" t="s">
        <v>634</v>
      </c>
      <c r="C194" s="25" t="s">
        <v>635</v>
      </c>
      <c r="D194" s="26">
        <v>0.0012430052595862398</v>
      </c>
      <c r="E194" s="27">
        <v>14353.0</v>
      </c>
      <c r="F194" s="28"/>
      <c r="G194" s="29" t="s">
        <v>14</v>
      </c>
      <c r="H194" s="28"/>
      <c r="I194" s="22" t="s">
        <v>148</v>
      </c>
      <c r="J194" s="22"/>
      <c r="K194" s="22"/>
    </row>
    <row r="195">
      <c r="A195" s="24" t="s">
        <v>636</v>
      </c>
      <c r="B195" s="24" t="s">
        <v>637</v>
      </c>
      <c r="C195" s="25" t="s">
        <v>638</v>
      </c>
      <c r="D195" s="26">
        <v>0.0012370895010719713</v>
      </c>
      <c r="E195" s="27">
        <v>5726427.0</v>
      </c>
      <c r="F195" s="28"/>
      <c r="G195" s="29" t="s">
        <v>14</v>
      </c>
      <c r="H195" s="28"/>
      <c r="I195" s="22" t="s">
        <v>148</v>
      </c>
      <c r="J195" s="22"/>
      <c r="K195" s="22"/>
    </row>
    <row r="196">
      <c r="A196" s="9" t="s">
        <v>81</v>
      </c>
      <c r="B196" s="9" t="s">
        <v>82</v>
      </c>
      <c r="C196" s="10" t="s">
        <v>83</v>
      </c>
      <c r="D196" s="12">
        <v>0.0011787770242884705</v>
      </c>
      <c r="E196" s="13">
        <v>103626.0</v>
      </c>
      <c r="F196" s="11" t="s">
        <v>14</v>
      </c>
      <c r="G196" s="11" t="s">
        <v>14</v>
      </c>
      <c r="H196" s="11" t="s">
        <v>14</v>
      </c>
      <c r="I196" s="11" t="s">
        <v>14</v>
      </c>
      <c r="J196" s="11" t="s">
        <v>14</v>
      </c>
      <c r="K196" s="11" t="s">
        <v>14</v>
      </c>
    </row>
    <row r="197">
      <c r="A197" s="24" t="s">
        <v>639</v>
      </c>
      <c r="B197" s="24" t="s">
        <v>640</v>
      </c>
      <c r="C197" s="25" t="s">
        <v>641</v>
      </c>
      <c r="D197" s="26">
        <v>0.0011306058478151436</v>
      </c>
      <c r="E197" s="27">
        <v>201673.0</v>
      </c>
      <c r="F197" s="28"/>
      <c r="G197" s="29" t="s">
        <v>14</v>
      </c>
      <c r="H197" s="28"/>
      <c r="I197" s="22" t="s">
        <v>148</v>
      </c>
      <c r="J197" s="22"/>
      <c r="K197" s="22"/>
    </row>
    <row r="198">
      <c r="A198" s="9" t="s">
        <v>642</v>
      </c>
      <c r="B198" s="9" t="s">
        <v>643</v>
      </c>
      <c r="C198" s="10" t="s">
        <v>644</v>
      </c>
      <c r="D198" s="12">
        <v>0.0011306058478151436</v>
      </c>
      <c r="E198" s="13">
        <v>11.0</v>
      </c>
      <c r="F198" s="16"/>
      <c r="G198" s="11" t="s">
        <v>148</v>
      </c>
      <c r="H198" s="16"/>
      <c r="I198" s="16"/>
      <c r="J198" s="16"/>
      <c r="K198" s="16"/>
    </row>
    <row r="199">
      <c r="A199" s="9" t="s">
        <v>645</v>
      </c>
      <c r="B199" s="9" t="s">
        <v>646</v>
      </c>
      <c r="C199" s="10" t="s">
        <v>647</v>
      </c>
      <c r="D199" s="12">
        <v>0.0011306058478151436</v>
      </c>
      <c r="E199" s="13">
        <v>1057.0</v>
      </c>
      <c r="F199" s="11" t="s">
        <v>14</v>
      </c>
      <c r="G199" s="11" t="s">
        <v>14</v>
      </c>
      <c r="H199" s="23"/>
      <c r="I199" s="11" t="s">
        <v>148</v>
      </c>
      <c r="J199" s="23"/>
      <c r="K199" s="23"/>
    </row>
    <row r="200">
      <c r="A200" s="24" t="s">
        <v>648</v>
      </c>
      <c r="B200" s="24" t="s">
        <v>649</v>
      </c>
      <c r="C200" s="25" t="s">
        <v>650</v>
      </c>
      <c r="D200" s="26">
        <v>0.0011306058478151436</v>
      </c>
      <c r="E200" s="27">
        <v>1197888.0</v>
      </c>
      <c r="F200" s="28"/>
      <c r="G200" s="29" t="s">
        <v>14</v>
      </c>
      <c r="H200" s="28"/>
      <c r="I200" s="22" t="s">
        <v>148</v>
      </c>
      <c r="J200" s="22"/>
      <c r="K200" s="22"/>
    </row>
    <row r="201">
      <c r="A201" s="24" t="s">
        <v>651</v>
      </c>
      <c r="B201" s="24" t="s">
        <v>651</v>
      </c>
      <c r="C201" s="25"/>
      <c r="D201" s="26">
        <v>0.0011306058478151436</v>
      </c>
      <c r="E201" s="27">
        <v>1082.0</v>
      </c>
      <c r="F201" s="28"/>
      <c r="G201" s="29" t="s">
        <v>14</v>
      </c>
      <c r="H201" s="28"/>
      <c r="I201" s="22" t="s">
        <v>148</v>
      </c>
      <c r="J201" s="22"/>
      <c r="K201" s="22"/>
    </row>
    <row r="202">
      <c r="A202" s="24" t="s">
        <v>652</v>
      </c>
      <c r="B202" s="24" t="s">
        <v>653</v>
      </c>
      <c r="C202" s="25" t="s">
        <v>654</v>
      </c>
      <c r="D202" s="26">
        <v>0.0011306058478151436</v>
      </c>
      <c r="E202" s="27">
        <v>22203.0</v>
      </c>
      <c r="F202" s="28"/>
      <c r="G202" s="29" t="s">
        <v>14</v>
      </c>
      <c r="H202" s="28"/>
      <c r="I202" s="22" t="s">
        <v>148</v>
      </c>
      <c r="J202" s="22"/>
      <c r="K202" s="22"/>
    </row>
    <row r="203">
      <c r="A203" s="9" t="s">
        <v>655</v>
      </c>
      <c r="B203" s="9" t="s">
        <v>656</v>
      </c>
      <c r="C203" s="10" t="s">
        <v>657</v>
      </c>
      <c r="D203" s="12">
        <v>0.0011306058478151436</v>
      </c>
      <c r="E203" s="13">
        <v>206317.0</v>
      </c>
      <c r="F203" s="11" t="s">
        <v>14</v>
      </c>
      <c r="G203" s="11" t="s">
        <v>14</v>
      </c>
      <c r="H203" s="11" t="s">
        <v>14</v>
      </c>
      <c r="I203" s="11" t="s">
        <v>148</v>
      </c>
      <c r="J203" s="11" t="s">
        <v>14</v>
      </c>
      <c r="K203" s="11" t="s">
        <v>148</v>
      </c>
    </row>
    <row r="204">
      <c r="A204" s="24" t="s">
        <v>658</v>
      </c>
      <c r="B204" s="24" t="s">
        <v>659</v>
      </c>
      <c r="C204" s="25" t="s">
        <v>660</v>
      </c>
      <c r="D204" s="26">
        <v>0.0011306058478151436</v>
      </c>
      <c r="E204" s="27">
        <v>1043189.0</v>
      </c>
      <c r="F204" s="28"/>
      <c r="G204" s="29" t="s">
        <v>14</v>
      </c>
      <c r="H204" s="28"/>
      <c r="I204" s="22" t="s">
        <v>148</v>
      </c>
      <c r="J204" s="22"/>
      <c r="K204" s="22"/>
    </row>
    <row r="205">
      <c r="A205" s="24" t="s">
        <v>661</v>
      </c>
      <c r="B205" s="24" t="s">
        <v>662</v>
      </c>
      <c r="C205" s="25" t="s">
        <v>663</v>
      </c>
      <c r="D205" s="26">
        <v>0.0011306058478151436</v>
      </c>
      <c r="E205" s="27">
        <v>550623.0</v>
      </c>
      <c r="F205" s="28"/>
      <c r="G205" s="29" t="s">
        <v>14</v>
      </c>
      <c r="H205" s="28"/>
      <c r="I205" s="22" t="s">
        <v>148</v>
      </c>
      <c r="J205" s="22"/>
      <c r="K205" s="22"/>
    </row>
    <row r="206">
      <c r="A206" s="24" t="s">
        <v>664</v>
      </c>
      <c r="B206" s="24" t="s">
        <v>665</v>
      </c>
      <c r="C206" s="25" t="s">
        <v>666</v>
      </c>
      <c r="D206" s="26">
        <v>0.0011306058478151436</v>
      </c>
      <c r="E206" s="27">
        <v>1.0366482E7</v>
      </c>
      <c r="F206" s="28"/>
      <c r="G206" s="29" t="s">
        <v>14</v>
      </c>
      <c r="H206" s="28"/>
      <c r="I206" s="22" t="s">
        <v>148</v>
      </c>
      <c r="J206" s="22"/>
      <c r="K206" s="22"/>
    </row>
    <row r="207">
      <c r="A207" s="24" t="s">
        <v>667</v>
      </c>
      <c r="B207" s="24" t="s">
        <v>668</v>
      </c>
      <c r="C207" s="25" t="s">
        <v>669</v>
      </c>
      <c r="D207" s="26">
        <v>0.0011306058478151436</v>
      </c>
      <c r="E207" s="27">
        <v>1871483.0</v>
      </c>
      <c r="F207" s="28"/>
      <c r="G207" s="29" t="s">
        <v>14</v>
      </c>
      <c r="H207" s="28"/>
      <c r="I207" s="22" t="s">
        <v>148</v>
      </c>
      <c r="J207" s="22"/>
      <c r="K207" s="22"/>
    </row>
    <row r="208">
      <c r="A208" s="24" t="s">
        <v>670</v>
      </c>
      <c r="B208" s="24" t="s">
        <v>671</v>
      </c>
      <c r="C208" s="25" t="s">
        <v>672</v>
      </c>
      <c r="D208" s="26">
        <v>0.0011306058478151436</v>
      </c>
      <c r="E208" s="27">
        <v>2715277.0</v>
      </c>
      <c r="F208" s="28"/>
      <c r="G208" s="29" t="s">
        <v>14</v>
      </c>
      <c r="H208" s="28"/>
      <c r="I208" s="22" t="s">
        <v>148</v>
      </c>
      <c r="J208" s="22"/>
      <c r="K208" s="22"/>
    </row>
    <row r="209">
      <c r="A209" s="24" t="s">
        <v>673</v>
      </c>
      <c r="B209" s="24" t="s">
        <v>674</v>
      </c>
      <c r="C209" s="25" t="s">
        <v>675</v>
      </c>
      <c r="D209" s="26">
        <v>0.001105315980166647</v>
      </c>
      <c r="E209" s="27">
        <v>2303.0</v>
      </c>
      <c r="F209" s="28"/>
      <c r="G209" s="29" t="s">
        <v>14</v>
      </c>
      <c r="H209" s="28"/>
      <c r="I209" s="22" t="s">
        <v>148</v>
      </c>
      <c r="J209" s="22"/>
      <c r="K209" s="22"/>
    </row>
    <row r="210">
      <c r="A210" s="9" t="s">
        <v>676</v>
      </c>
      <c r="B210" s="9" t="s">
        <v>677</v>
      </c>
      <c r="C210" s="10" t="s">
        <v>678</v>
      </c>
      <c r="D210" s="12">
        <v>0.001105315980166647</v>
      </c>
      <c r="E210" s="13">
        <v>866.0</v>
      </c>
      <c r="F210" s="16"/>
      <c r="G210" s="11" t="s">
        <v>148</v>
      </c>
      <c r="H210" s="16"/>
      <c r="I210" s="16"/>
      <c r="J210" s="16"/>
      <c r="K210" s="16"/>
    </row>
    <row r="211">
      <c r="A211" s="9" t="s">
        <v>679</v>
      </c>
      <c r="B211" s="9" t="s">
        <v>680</v>
      </c>
      <c r="C211" s="10" t="s">
        <v>681</v>
      </c>
      <c r="D211" s="12">
        <v>0.001105315980166647</v>
      </c>
      <c r="E211" s="13">
        <v>535.0</v>
      </c>
      <c r="F211" s="16"/>
      <c r="G211" s="11" t="s">
        <v>148</v>
      </c>
      <c r="H211" s="16"/>
      <c r="I211" s="16"/>
      <c r="J211" s="16"/>
      <c r="K211" s="16"/>
    </row>
    <row r="212">
      <c r="A212" s="9" t="s">
        <v>682</v>
      </c>
      <c r="B212" s="9" t="s">
        <v>683</v>
      </c>
      <c r="C212" s="10" t="s">
        <v>684</v>
      </c>
      <c r="D212" s="12">
        <v>0.001105315980166647</v>
      </c>
      <c r="E212" s="13">
        <v>7785.0</v>
      </c>
      <c r="F212" s="11" t="s">
        <v>14</v>
      </c>
      <c r="G212" s="11" t="s">
        <v>14</v>
      </c>
      <c r="H212" s="23"/>
      <c r="I212" s="11" t="s">
        <v>148</v>
      </c>
      <c r="J212" s="23"/>
      <c r="K212" s="23"/>
    </row>
    <row r="213">
      <c r="A213" s="9" t="s">
        <v>685</v>
      </c>
      <c r="B213" s="9" t="s">
        <v>686</v>
      </c>
      <c r="C213" s="10" t="s">
        <v>687</v>
      </c>
      <c r="D213" s="12">
        <v>0.0011011170287573274</v>
      </c>
      <c r="E213" s="13">
        <v>198675.0</v>
      </c>
      <c r="F213" s="11" t="s">
        <v>14</v>
      </c>
      <c r="G213" s="11" t="s">
        <v>14</v>
      </c>
      <c r="H213" s="23"/>
      <c r="I213" s="23"/>
      <c r="J213" s="11" t="s">
        <v>148</v>
      </c>
      <c r="K213" s="23"/>
    </row>
    <row r="214">
      <c r="A214" s="9" t="s">
        <v>688</v>
      </c>
      <c r="B214" s="9" t="s">
        <v>689</v>
      </c>
      <c r="C214" s="10" t="s">
        <v>690</v>
      </c>
      <c r="D214" s="12">
        <v>0.0011011170287573274</v>
      </c>
      <c r="E214" s="13">
        <v>17172.0</v>
      </c>
      <c r="F214" s="11" t="s">
        <v>14</v>
      </c>
      <c r="G214" s="11" t="s">
        <v>14</v>
      </c>
      <c r="H214" s="23"/>
      <c r="I214" s="23"/>
      <c r="J214" s="11" t="s">
        <v>148</v>
      </c>
      <c r="K214" s="23"/>
    </row>
    <row r="215">
      <c r="A215" s="9" t="s">
        <v>691</v>
      </c>
      <c r="B215" s="9" t="s">
        <v>692</v>
      </c>
      <c r="C215" s="10" t="s">
        <v>693</v>
      </c>
      <c r="D215" s="12">
        <v>0.0010803848340450795</v>
      </c>
      <c r="E215" s="13">
        <v>13960.0</v>
      </c>
      <c r="F215" s="11" t="s">
        <v>14</v>
      </c>
      <c r="G215" s="11" t="s">
        <v>14</v>
      </c>
      <c r="H215" s="23"/>
      <c r="I215" s="23"/>
      <c r="J215" s="23"/>
      <c r="K215" s="11" t="s">
        <v>148</v>
      </c>
    </row>
    <row r="216">
      <c r="A216" s="24" t="s">
        <v>694</v>
      </c>
      <c r="B216" s="24" t="s">
        <v>695</v>
      </c>
      <c r="C216" s="25" t="s">
        <v>696</v>
      </c>
      <c r="D216" s="26">
        <v>0.001063166200752486</v>
      </c>
      <c r="E216" s="27">
        <v>2435065.0</v>
      </c>
      <c r="F216" s="28"/>
      <c r="G216" s="29" t="s">
        <v>14</v>
      </c>
      <c r="H216" s="28"/>
      <c r="I216" s="22" t="s">
        <v>148</v>
      </c>
      <c r="J216" s="22"/>
      <c r="K216" s="22"/>
    </row>
    <row r="217">
      <c r="A217" s="9" t="s">
        <v>84</v>
      </c>
      <c r="B217" s="9" t="s">
        <v>85</v>
      </c>
      <c r="C217" s="10" t="s">
        <v>86</v>
      </c>
      <c r="D217" s="12">
        <v>0.0010535192171287249</v>
      </c>
      <c r="E217" s="13">
        <v>70121.0</v>
      </c>
      <c r="F217" s="11" t="s">
        <v>14</v>
      </c>
      <c r="G217" s="11" t="s">
        <v>14</v>
      </c>
      <c r="H217" s="11" t="s">
        <v>14</v>
      </c>
      <c r="I217" s="11" t="s">
        <v>14</v>
      </c>
      <c r="J217" s="11" t="s">
        <v>14</v>
      </c>
      <c r="K217" s="11" t="s">
        <v>14</v>
      </c>
    </row>
    <row r="218">
      <c r="A218" s="9" t="s">
        <v>87</v>
      </c>
      <c r="B218" s="9" t="s">
        <v>88</v>
      </c>
      <c r="C218" s="10" t="s">
        <v>89</v>
      </c>
      <c r="D218" s="12">
        <v>0.0010535192171287249</v>
      </c>
      <c r="E218" s="13">
        <v>49490.0</v>
      </c>
      <c r="F218" s="11" t="s">
        <v>14</v>
      </c>
      <c r="G218" s="11" t="s">
        <v>14</v>
      </c>
      <c r="H218" s="11" t="s">
        <v>14</v>
      </c>
      <c r="I218" s="11" t="s">
        <v>14</v>
      </c>
      <c r="J218" s="11" t="s">
        <v>14</v>
      </c>
      <c r="K218" s="11" t="s">
        <v>14</v>
      </c>
    </row>
    <row r="219">
      <c r="A219" s="9" t="s">
        <v>697</v>
      </c>
      <c r="B219" s="9" t="s">
        <v>698</v>
      </c>
      <c r="C219" s="10" t="s">
        <v>699</v>
      </c>
      <c r="D219" s="12">
        <v>0.0010328383121325927</v>
      </c>
      <c r="E219" s="13">
        <v>100.0</v>
      </c>
      <c r="F219" s="16"/>
      <c r="G219" s="11" t="s">
        <v>148</v>
      </c>
      <c r="H219" s="16"/>
      <c r="I219" s="16"/>
      <c r="J219" s="16"/>
      <c r="K219" s="16"/>
    </row>
    <row r="220">
      <c r="A220" s="9" t="s">
        <v>700</v>
      </c>
      <c r="B220" s="9" t="s">
        <v>701</v>
      </c>
      <c r="C220" s="10" t="s">
        <v>702</v>
      </c>
      <c r="D220" s="12">
        <v>0.0010182064360440475</v>
      </c>
      <c r="E220" s="13">
        <v>8619005.0</v>
      </c>
      <c r="F220" s="11" t="s">
        <v>14</v>
      </c>
      <c r="G220" s="11" t="s">
        <v>14</v>
      </c>
      <c r="H220" s="23"/>
      <c r="I220" s="23"/>
      <c r="J220" s="11" t="s">
        <v>148</v>
      </c>
      <c r="K220" s="11" t="s">
        <v>148</v>
      </c>
    </row>
    <row r="221">
      <c r="A221" s="9" t="s">
        <v>703</v>
      </c>
      <c r="B221" s="9" t="s">
        <v>704</v>
      </c>
      <c r="C221" s="10" t="s">
        <v>705</v>
      </c>
      <c r="D221" s="12">
        <v>0.0010182064360440475</v>
      </c>
      <c r="E221" s="13">
        <v>1418829.0</v>
      </c>
      <c r="F221" s="11" t="s">
        <v>14</v>
      </c>
      <c r="G221" s="11" t="s">
        <v>14</v>
      </c>
      <c r="H221" s="23"/>
      <c r="I221" s="23"/>
      <c r="J221" s="11" t="s">
        <v>148</v>
      </c>
      <c r="K221" s="11" t="s">
        <v>148</v>
      </c>
    </row>
    <row r="222">
      <c r="A222" s="9" t="s">
        <v>706</v>
      </c>
      <c r="B222" s="9" t="s">
        <v>707</v>
      </c>
      <c r="C222" s="10" t="s">
        <v>708</v>
      </c>
      <c r="D222" s="12">
        <v>0.0010182064360440475</v>
      </c>
      <c r="E222" s="13">
        <v>179171.0</v>
      </c>
      <c r="F222" s="11" t="s">
        <v>14</v>
      </c>
      <c r="G222" s="11" t="s">
        <v>14</v>
      </c>
      <c r="H222" s="23"/>
      <c r="I222" s="23"/>
      <c r="J222" s="11" t="s">
        <v>148</v>
      </c>
      <c r="K222" s="11" t="s">
        <v>148</v>
      </c>
    </row>
    <row r="223">
      <c r="A223" s="24" t="s">
        <v>709</v>
      </c>
      <c r="B223" s="24" t="s">
        <v>710</v>
      </c>
      <c r="C223" s="25" t="s">
        <v>711</v>
      </c>
      <c r="D223" s="26">
        <v>0.0010182064360440475</v>
      </c>
      <c r="E223" s="27">
        <v>69731.0</v>
      </c>
      <c r="F223" s="28"/>
      <c r="G223" s="29" t="s">
        <v>14</v>
      </c>
      <c r="H223" s="28"/>
      <c r="I223" s="22" t="s">
        <v>148</v>
      </c>
      <c r="J223" s="22"/>
      <c r="K223" s="22"/>
    </row>
    <row r="224">
      <c r="A224" s="24" t="s">
        <v>712</v>
      </c>
      <c r="B224" s="24" t="s">
        <v>713</v>
      </c>
      <c r="C224" s="25" t="s">
        <v>714</v>
      </c>
      <c r="D224" s="26">
        <v>9.963929939790287E-4</v>
      </c>
      <c r="E224" s="27">
        <v>193565.0</v>
      </c>
      <c r="F224" s="28"/>
      <c r="G224" s="29" t="s">
        <v>14</v>
      </c>
      <c r="H224" s="28"/>
      <c r="I224" s="22" t="s">
        <v>148</v>
      </c>
      <c r="J224" s="22"/>
      <c r="K224" s="22"/>
    </row>
    <row r="225">
      <c r="A225" s="24" t="s">
        <v>715</v>
      </c>
      <c r="B225" s="24" t="s">
        <v>716</v>
      </c>
      <c r="C225" s="25" t="s">
        <v>717</v>
      </c>
      <c r="D225" s="26">
        <v>9.751199948651272E-4</v>
      </c>
      <c r="E225" s="27">
        <v>8205005.0</v>
      </c>
      <c r="F225" s="28"/>
      <c r="G225" s="29" t="s">
        <v>14</v>
      </c>
      <c r="H225" s="28"/>
      <c r="I225" s="22" t="s">
        <v>148</v>
      </c>
      <c r="J225" s="22"/>
      <c r="K225" s="22"/>
    </row>
    <row r="226">
      <c r="A226" s="9" t="s">
        <v>90</v>
      </c>
      <c r="B226" s="9" t="s">
        <v>91</v>
      </c>
      <c r="C226" s="10" t="s">
        <v>92</v>
      </c>
      <c r="D226" s="12">
        <v>9.627909121010884E-4</v>
      </c>
      <c r="E226" s="13">
        <v>4857.0</v>
      </c>
      <c r="F226" s="11" t="s">
        <v>14</v>
      </c>
      <c r="G226" s="11" t="s">
        <v>14</v>
      </c>
      <c r="H226" s="11" t="s">
        <v>14</v>
      </c>
      <c r="I226" s="11" t="s">
        <v>14</v>
      </c>
      <c r="J226" s="11" t="s">
        <v>14</v>
      </c>
      <c r="K226" s="11" t="s">
        <v>14</v>
      </c>
    </row>
    <row r="227">
      <c r="A227" s="9" t="s">
        <v>718</v>
      </c>
      <c r="B227" s="9" t="s">
        <v>719</v>
      </c>
      <c r="C227" s="10" t="s">
        <v>720</v>
      </c>
      <c r="D227" s="12">
        <v>9.627909121010884E-4</v>
      </c>
      <c r="E227" s="13">
        <v>9053.0</v>
      </c>
      <c r="F227" s="11" t="s">
        <v>14</v>
      </c>
      <c r="G227" s="11" t="s">
        <v>14</v>
      </c>
      <c r="H227" s="23"/>
      <c r="I227" s="11" t="s">
        <v>148</v>
      </c>
      <c r="J227" s="23"/>
      <c r="K227" s="23"/>
    </row>
    <row r="228">
      <c r="A228" s="24" t="s">
        <v>721</v>
      </c>
      <c r="B228" s="24" t="s">
        <v>722</v>
      </c>
      <c r="C228" s="25" t="s">
        <v>723</v>
      </c>
      <c r="D228" s="26">
        <v>9.627909121010884E-4</v>
      </c>
      <c r="E228" s="27">
        <v>6823.0</v>
      </c>
      <c r="F228" s="28"/>
      <c r="G228" s="29" t="s">
        <v>14</v>
      </c>
      <c r="H228" s="28"/>
      <c r="I228" s="22" t="s">
        <v>148</v>
      </c>
      <c r="J228" s="22"/>
      <c r="K228" s="22"/>
    </row>
    <row r="229">
      <c r="A229" s="9" t="s">
        <v>724</v>
      </c>
      <c r="B229" s="9" t="s">
        <v>725</v>
      </c>
      <c r="C229" s="10" t="s">
        <v>726</v>
      </c>
      <c r="D229" s="12">
        <v>9.282869066271705E-4</v>
      </c>
      <c r="E229" s="13">
        <v>118731.0</v>
      </c>
      <c r="F229" s="11" t="s">
        <v>14</v>
      </c>
      <c r="G229" s="11" t="s">
        <v>14</v>
      </c>
      <c r="H229" s="23"/>
      <c r="I229" s="11" t="s">
        <v>148</v>
      </c>
      <c r="J229" s="23"/>
      <c r="K229" s="23"/>
    </row>
    <row r="230">
      <c r="A230" s="9" t="s">
        <v>727</v>
      </c>
      <c r="B230" s="9" t="s">
        <v>631</v>
      </c>
      <c r="C230" s="10" t="s">
        <v>728</v>
      </c>
      <c r="D230" s="12">
        <v>8.732178457121009E-4</v>
      </c>
      <c r="E230" s="13">
        <v>49.0</v>
      </c>
      <c r="F230" s="16"/>
      <c r="G230" s="11" t="s">
        <v>148</v>
      </c>
      <c r="H230" s="16"/>
      <c r="I230" s="16"/>
      <c r="J230" s="16"/>
      <c r="K230" s="16"/>
    </row>
    <row r="231">
      <c r="A231" s="9" t="s">
        <v>729</v>
      </c>
      <c r="B231" s="9" t="s">
        <v>730</v>
      </c>
      <c r="C231" s="10" t="s">
        <v>731</v>
      </c>
      <c r="D231" s="12">
        <v>8.452842640885149E-4</v>
      </c>
      <c r="E231" s="13">
        <v>586.0</v>
      </c>
      <c r="F231" s="16"/>
      <c r="G231" s="11" t="s">
        <v>148</v>
      </c>
      <c r="H231" s="16"/>
      <c r="I231" s="16"/>
      <c r="J231" s="16"/>
      <c r="K231" s="16"/>
    </row>
    <row r="232">
      <c r="A232" s="9" t="s">
        <v>93</v>
      </c>
      <c r="B232" s="9" t="s">
        <v>94</v>
      </c>
      <c r="C232" s="10" t="s">
        <v>95</v>
      </c>
      <c r="D232" s="12">
        <v>8.452842640885149E-4</v>
      </c>
      <c r="E232" s="13">
        <v>16313.0</v>
      </c>
      <c r="F232" s="11" t="s">
        <v>14</v>
      </c>
      <c r="G232" s="11" t="s">
        <v>14</v>
      </c>
      <c r="H232" s="11" t="s">
        <v>14</v>
      </c>
      <c r="I232" s="11" t="s">
        <v>14</v>
      </c>
      <c r="J232" s="11" t="s">
        <v>14</v>
      </c>
      <c r="K232" s="11" t="s">
        <v>14</v>
      </c>
    </row>
    <row r="233">
      <c r="A233" s="9" t="s">
        <v>732</v>
      </c>
      <c r="B233" s="9" t="s">
        <v>733</v>
      </c>
      <c r="C233" s="10" t="s">
        <v>734</v>
      </c>
      <c r="D233" s="12">
        <v>8.446925152111006E-4</v>
      </c>
      <c r="E233" s="13">
        <v>6480.0</v>
      </c>
      <c r="F233" s="11" t="s">
        <v>14</v>
      </c>
      <c r="G233" s="11" t="s">
        <v>14</v>
      </c>
      <c r="H233" s="23"/>
      <c r="I233" s="11" t="s">
        <v>148</v>
      </c>
      <c r="J233" s="23"/>
      <c r="K233" s="23"/>
    </row>
    <row r="234">
      <c r="A234" s="9" t="s">
        <v>735</v>
      </c>
      <c r="B234" s="9" t="s">
        <v>736</v>
      </c>
      <c r="C234" s="10" t="s">
        <v>737</v>
      </c>
      <c r="D234" s="12">
        <v>8.446925152111006E-4</v>
      </c>
      <c r="E234" s="13">
        <v>224120.0</v>
      </c>
      <c r="F234" s="11" t="s">
        <v>14</v>
      </c>
      <c r="G234" s="11" t="s">
        <v>14</v>
      </c>
      <c r="H234" s="11" t="s">
        <v>148</v>
      </c>
      <c r="I234" s="11" t="s">
        <v>14</v>
      </c>
      <c r="J234" s="11" t="s">
        <v>14</v>
      </c>
      <c r="K234" s="11" t="s">
        <v>14</v>
      </c>
    </row>
    <row r="235">
      <c r="A235" s="9" t="s">
        <v>738</v>
      </c>
      <c r="B235" s="9" t="s">
        <v>739</v>
      </c>
      <c r="C235" s="10" t="s">
        <v>740</v>
      </c>
      <c r="D235" s="12">
        <v>8.402407007398119E-4</v>
      </c>
      <c r="E235" s="13">
        <v>1477239.0</v>
      </c>
      <c r="F235" s="11" t="s">
        <v>14</v>
      </c>
      <c r="G235" s="11" t="s">
        <v>14</v>
      </c>
      <c r="H235" s="23"/>
      <c r="I235" s="11" t="s">
        <v>148</v>
      </c>
      <c r="J235" s="23"/>
      <c r="K235" s="23"/>
    </row>
    <row r="236">
      <c r="A236" s="9" t="s">
        <v>741</v>
      </c>
      <c r="B236" s="9" t="s">
        <v>742</v>
      </c>
      <c r="C236" s="10" t="s">
        <v>743</v>
      </c>
      <c r="D236" s="12">
        <v>8.402407007398119E-4</v>
      </c>
      <c r="E236" s="13">
        <v>988942.0</v>
      </c>
      <c r="F236" s="11" t="s">
        <v>14</v>
      </c>
      <c r="G236" s="11" t="s">
        <v>14</v>
      </c>
      <c r="H236" s="23"/>
      <c r="I236" s="11" t="s">
        <v>148</v>
      </c>
      <c r="J236" s="23"/>
      <c r="K236" s="23"/>
    </row>
    <row r="237">
      <c r="A237" s="9" t="s">
        <v>744</v>
      </c>
      <c r="B237" s="9" t="s">
        <v>745</v>
      </c>
      <c r="C237" s="10" t="s">
        <v>746</v>
      </c>
      <c r="D237" s="12">
        <v>8.289021635874644E-4</v>
      </c>
      <c r="E237" s="13">
        <v>199441.0</v>
      </c>
      <c r="F237" s="11" t="s">
        <v>14</v>
      </c>
      <c r="G237" s="11" t="s">
        <v>14</v>
      </c>
      <c r="H237" s="23"/>
      <c r="I237" s="11" t="s">
        <v>148</v>
      </c>
      <c r="J237" s="23"/>
      <c r="K237" s="23"/>
    </row>
    <row r="238">
      <c r="A238" s="9" t="s">
        <v>96</v>
      </c>
      <c r="B238" s="9" t="s">
        <v>97</v>
      </c>
      <c r="C238" s="10" t="s">
        <v>98</v>
      </c>
      <c r="D238" s="12">
        <v>8.289021635874644E-4</v>
      </c>
      <c r="E238" s="13">
        <v>14737.0</v>
      </c>
      <c r="F238" s="11" t="s">
        <v>14</v>
      </c>
      <c r="G238" s="11" t="s">
        <v>14</v>
      </c>
      <c r="H238" s="11" t="s">
        <v>14</v>
      </c>
      <c r="I238" s="11" t="s">
        <v>14</v>
      </c>
      <c r="J238" s="11" t="s">
        <v>14</v>
      </c>
      <c r="K238" s="11" t="s">
        <v>14</v>
      </c>
    </row>
    <row r="239">
      <c r="A239" s="24" t="s">
        <v>747</v>
      </c>
      <c r="B239" s="24" t="s">
        <v>748</v>
      </c>
      <c r="C239" s="25" t="s">
        <v>749</v>
      </c>
      <c r="D239" s="26">
        <v>8.289021635874644E-4</v>
      </c>
      <c r="E239" s="27">
        <v>1261.0</v>
      </c>
      <c r="F239" s="28"/>
      <c r="G239" s="29" t="s">
        <v>14</v>
      </c>
      <c r="H239" s="28"/>
      <c r="I239" s="22" t="s">
        <v>148</v>
      </c>
      <c r="J239" s="22"/>
      <c r="K239" s="22"/>
    </row>
    <row r="240">
      <c r="A240" s="24" t="s">
        <v>750</v>
      </c>
      <c r="B240" s="24" t="s">
        <v>751</v>
      </c>
      <c r="C240" s="25" t="s">
        <v>752</v>
      </c>
      <c r="D240" s="26">
        <v>8.289021635874644E-4</v>
      </c>
      <c r="E240" s="27">
        <v>6353562.0</v>
      </c>
      <c r="F240" s="28"/>
      <c r="G240" s="29" t="s">
        <v>14</v>
      </c>
      <c r="H240" s="28"/>
      <c r="I240" s="22" t="s">
        <v>148</v>
      </c>
      <c r="J240" s="22"/>
      <c r="K240" s="22"/>
    </row>
    <row r="241">
      <c r="A241" s="24" t="s">
        <v>753</v>
      </c>
      <c r="B241" s="24" t="s">
        <v>754</v>
      </c>
      <c r="C241" s="25" t="s">
        <v>755</v>
      </c>
      <c r="D241" s="26">
        <v>8.289021635874644E-4</v>
      </c>
      <c r="E241" s="27">
        <v>74918.0</v>
      </c>
      <c r="F241" s="28"/>
      <c r="G241" s="29" t="s">
        <v>14</v>
      </c>
      <c r="H241" s="28"/>
      <c r="I241" s="22" t="s">
        <v>148</v>
      </c>
      <c r="J241" s="22"/>
      <c r="K241" s="22"/>
    </row>
    <row r="242">
      <c r="A242" s="9" t="s">
        <v>756</v>
      </c>
      <c r="B242" s="9" t="s">
        <v>757</v>
      </c>
      <c r="C242" s="10" t="s">
        <v>758</v>
      </c>
      <c r="D242" s="12">
        <v>8.289021635874644E-4</v>
      </c>
      <c r="E242" s="13">
        <v>76223.0</v>
      </c>
      <c r="F242" s="11" t="s">
        <v>14</v>
      </c>
      <c r="G242" s="11" t="s">
        <v>14</v>
      </c>
      <c r="H242" s="23"/>
      <c r="I242" s="11" t="s">
        <v>148</v>
      </c>
      <c r="J242" s="23"/>
      <c r="K242" s="23"/>
    </row>
    <row r="243">
      <c r="A243" s="9" t="s">
        <v>759</v>
      </c>
      <c r="B243" s="9" t="s">
        <v>760</v>
      </c>
      <c r="C243" s="10" t="s">
        <v>761</v>
      </c>
      <c r="D243" s="12">
        <v>8.289021635874644E-4</v>
      </c>
      <c r="E243" s="13">
        <v>18863.0</v>
      </c>
      <c r="F243" s="11" t="s">
        <v>14</v>
      </c>
      <c r="G243" s="11" t="s">
        <v>14</v>
      </c>
      <c r="H243" s="23"/>
      <c r="I243" s="11" t="s">
        <v>148</v>
      </c>
      <c r="J243" s="23"/>
      <c r="K243" s="23"/>
    </row>
    <row r="244">
      <c r="A244" s="24" t="s">
        <v>762</v>
      </c>
      <c r="B244" s="24" t="s">
        <v>763</v>
      </c>
      <c r="C244" s="25" t="s">
        <v>764</v>
      </c>
      <c r="D244" s="26">
        <v>8.289021635874644E-4</v>
      </c>
      <c r="E244" s="27">
        <v>8886150.0</v>
      </c>
      <c r="F244" s="28"/>
      <c r="G244" s="29" t="s">
        <v>14</v>
      </c>
      <c r="H244" s="28"/>
      <c r="I244" s="22" t="s">
        <v>148</v>
      </c>
      <c r="J244" s="22"/>
      <c r="K244" s="22"/>
    </row>
    <row r="245">
      <c r="A245" s="9" t="s">
        <v>99</v>
      </c>
      <c r="B245" s="9" t="s">
        <v>100</v>
      </c>
      <c r="C245" s="10" t="s">
        <v>101</v>
      </c>
      <c r="D245" s="12">
        <v>7.934076125018551E-4</v>
      </c>
      <c r="E245" s="13">
        <v>12145.0</v>
      </c>
      <c r="F245" s="11" t="s">
        <v>14</v>
      </c>
      <c r="G245" s="11" t="s">
        <v>14</v>
      </c>
      <c r="H245" s="11" t="s">
        <v>14</v>
      </c>
      <c r="I245" s="11" t="s">
        <v>14</v>
      </c>
      <c r="J245" s="11" t="s">
        <v>14</v>
      </c>
      <c r="K245" s="11" t="s">
        <v>14</v>
      </c>
    </row>
    <row r="246">
      <c r="A246" s="9" t="s">
        <v>765</v>
      </c>
      <c r="B246" s="9" t="s">
        <v>766</v>
      </c>
      <c r="C246" s="10" t="s">
        <v>767</v>
      </c>
      <c r="D246" s="12">
        <v>7.934076125018551E-4</v>
      </c>
      <c r="E246" s="13">
        <v>1916.0</v>
      </c>
      <c r="F246" s="11" t="s">
        <v>14</v>
      </c>
      <c r="G246" s="11" t="s">
        <v>14</v>
      </c>
      <c r="H246" s="23"/>
      <c r="I246" s="11" t="s">
        <v>148</v>
      </c>
      <c r="J246" s="23"/>
      <c r="K246" s="23"/>
    </row>
    <row r="247">
      <c r="A247" s="9" t="s">
        <v>768</v>
      </c>
      <c r="B247" s="9" t="s">
        <v>769</v>
      </c>
      <c r="C247" s="10" t="s">
        <v>770</v>
      </c>
      <c r="D247" s="12">
        <v>7.934076125018551E-4</v>
      </c>
      <c r="E247" s="13">
        <v>944.0</v>
      </c>
      <c r="F247" s="16"/>
      <c r="G247" s="11" t="s">
        <v>148</v>
      </c>
      <c r="H247" s="16"/>
      <c r="I247" s="16"/>
      <c r="J247" s="16"/>
      <c r="K247" s="16"/>
    </row>
    <row r="248">
      <c r="A248" s="9" t="s">
        <v>771</v>
      </c>
      <c r="B248" s="9" t="s">
        <v>772</v>
      </c>
      <c r="C248" s="10" t="s">
        <v>773</v>
      </c>
      <c r="D248" s="12">
        <v>7.934076125018551E-4</v>
      </c>
      <c r="E248" s="13">
        <v>44.0</v>
      </c>
      <c r="F248" s="16"/>
      <c r="G248" s="11" t="s">
        <v>148</v>
      </c>
      <c r="H248" s="16"/>
      <c r="I248" s="16"/>
      <c r="J248" s="16"/>
      <c r="K248" s="16"/>
    </row>
    <row r="249">
      <c r="A249" s="9" t="s">
        <v>774</v>
      </c>
      <c r="B249" s="9" t="s">
        <v>775</v>
      </c>
      <c r="C249" s="10" t="s">
        <v>776</v>
      </c>
      <c r="D249" s="12">
        <v>7.934076125018551E-4</v>
      </c>
      <c r="E249" s="13">
        <v>993.0</v>
      </c>
      <c r="F249" s="16"/>
      <c r="G249" s="11" t="s">
        <v>148</v>
      </c>
      <c r="H249" s="16"/>
      <c r="I249" s="16"/>
      <c r="J249" s="16"/>
      <c r="K249" s="16"/>
    </row>
    <row r="250">
      <c r="A250" s="9" t="s">
        <v>777</v>
      </c>
      <c r="B250" s="9" t="s">
        <v>778</v>
      </c>
      <c r="C250" s="10" t="s">
        <v>779</v>
      </c>
      <c r="D250" s="12">
        <v>7.934076125018551E-4</v>
      </c>
      <c r="E250" s="13">
        <v>196.0</v>
      </c>
      <c r="F250" s="16"/>
      <c r="G250" s="11" t="s">
        <v>148</v>
      </c>
      <c r="H250" s="16"/>
      <c r="I250" s="16"/>
      <c r="J250" s="16"/>
      <c r="K250" s="16"/>
    </row>
    <row r="251">
      <c r="A251" s="9" t="s">
        <v>780</v>
      </c>
      <c r="B251" s="9" t="s">
        <v>781</v>
      </c>
      <c r="C251" s="10" t="s">
        <v>782</v>
      </c>
      <c r="D251" s="12">
        <v>7.934076125018551E-4</v>
      </c>
      <c r="E251" s="13">
        <v>787.0</v>
      </c>
      <c r="F251" s="16"/>
      <c r="G251" s="11" t="s">
        <v>148</v>
      </c>
      <c r="H251" s="16"/>
      <c r="I251" s="16"/>
      <c r="J251" s="16"/>
      <c r="K251" s="16"/>
    </row>
    <row r="252">
      <c r="A252" s="9" t="s">
        <v>783</v>
      </c>
      <c r="B252" s="9" t="s">
        <v>784</v>
      </c>
      <c r="C252" s="10" t="s">
        <v>785</v>
      </c>
      <c r="D252" s="12">
        <v>7.934076125018551E-4</v>
      </c>
      <c r="E252" s="13">
        <v>43.0</v>
      </c>
      <c r="F252" s="16"/>
      <c r="G252" s="11" t="s">
        <v>148</v>
      </c>
      <c r="H252" s="16"/>
      <c r="I252" s="16"/>
      <c r="J252" s="16"/>
      <c r="K252" s="16"/>
    </row>
    <row r="253">
      <c r="A253" s="24" t="s">
        <v>786</v>
      </c>
      <c r="B253" s="24" t="s">
        <v>787</v>
      </c>
      <c r="C253" s="25" t="s">
        <v>788</v>
      </c>
      <c r="D253" s="26">
        <v>7.934076125018551E-4</v>
      </c>
      <c r="E253" s="27">
        <v>2149.0</v>
      </c>
      <c r="F253" s="28"/>
      <c r="G253" s="29" t="s">
        <v>14</v>
      </c>
      <c r="H253" s="28"/>
      <c r="I253" s="22" t="s">
        <v>148</v>
      </c>
      <c r="J253" s="22"/>
      <c r="K253" s="22"/>
    </row>
    <row r="254">
      <c r="A254" s="24" t="s">
        <v>789</v>
      </c>
      <c r="B254" s="24" t="s">
        <v>790</v>
      </c>
      <c r="C254" s="25" t="s">
        <v>791</v>
      </c>
      <c r="D254" s="26">
        <v>7.934076125018551E-4</v>
      </c>
      <c r="E254" s="27">
        <v>1188.0</v>
      </c>
      <c r="F254" s="28"/>
      <c r="G254" s="29" t="s">
        <v>14</v>
      </c>
      <c r="H254" s="28"/>
      <c r="I254" s="22" t="s">
        <v>148</v>
      </c>
      <c r="J254" s="22"/>
      <c r="K254" s="22"/>
    </row>
    <row r="255">
      <c r="A255" s="9" t="s">
        <v>792</v>
      </c>
      <c r="B255" s="9" t="s">
        <v>793</v>
      </c>
      <c r="C255" s="10"/>
      <c r="D255" s="12">
        <v>7.934076125018551E-4</v>
      </c>
      <c r="E255" s="13">
        <v>26.0</v>
      </c>
      <c r="F255" s="16"/>
      <c r="G255" s="11" t="s">
        <v>148</v>
      </c>
      <c r="H255" s="16"/>
      <c r="I255" s="16"/>
      <c r="J255" s="16"/>
      <c r="K255" s="16"/>
    </row>
    <row r="256">
      <c r="A256" s="9" t="s">
        <v>794</v>
      </c>
      <c r="B256" s="9" t="s">
        <v>795</v>
      </c>
      <c r="C256" s="10"/>
      <c r="D256" s="12">
        <v>7.934076125018551E-4</v>
      </c>
      <c r="E256" s="13">
        <v>25.0</v>
      </c>
      <c r="F256" s="16"/>
      <c r="G256" s="11" t="s">
        <v>148</v>
      </c>
      <c r="H256" s="16"/>
      <c r="I256" s="16"/>
      <c r="J256" s="16"/>
      <c r="K256" s="16"/>
    </row>
    <row r="257">
      <c r="A257" s="9" t="s">
        <v>796</v>
      </c>
      <c r="B257" s="9" t="s">
        <v>797</v>
      </c>
      <c r="C257" s="10"/>
      <c r="D257" s="12">
        <v>7.934076125018551E-4</v>
      </c>
      <c r="E257" s="13">
        <v>16.0</v>
      </c>
      <c r="F257" s="16"/>
      <c r="G257" s="11" t="s">
        <v>148</v>
      </c>
      <c r="H257" s="16"/>
      <c r="I257" s="16"/>
      <c r="J257" s="16"/>
      <c r="K257" s="16"/>
    </row>
    <row r="258">
      <c r="A258" s="9" t="s">
        <v>798</v>
      </c>
      <c r="B258" s="9" t="s">
        <v>799</v>
      </c>
      <c r="C258" s="10" t="s">
        <v>800</v>
      </c>
      <c r="D258" s="12">
        <v>7.934076125018551E-4</v>
      </c>
      <c r="E258" s="13">
        <v>85.0</v>
      </c>
      <c r="F258" s="16"/>
      <c r="G258" s="11" t="s">
        <v>148</v>
      </c>
      <c r="H258" s="16"/>
      <c r="I258" s="16"/>
      <c r="J258" s="16"/>
      <c r="K258" s="16"/>
    </row>
    <row r="259">
      <c r="A259" s="9" t="s">
        <v>801</v>
      </c>
      <c r="B259" s="9" t="s">
        <v>802</v>
      </c>
      <c r="C259" s="10" t="s">
        <v>803</v>
      </c>
      <c r="D259" s="12">
        <v>7.934076125018551E-4</v>
      </c>
      <c r="E259" s="13">
        <v>1.0</v>
      </c>
      <c r="F259" s="16"/>
      <c r="G259" s="11" t="s">
        <v>148</v>
      </c>
      <c r="H259" s="16"/>
      <c r="I259" s="16"/>
      <c r="J259" s="16"/>
      <c r="K259" s="16"/>
    </row>
    <row r="260">
      <c r="A260" s="9" t="s">
        <v>804</v>
      </c>
      <c r="B260" s="9" t="s">
        <v>805</v>
      </c>
      <c r="C260" s="10" t="s">
        <v>806</v>
      </c>
      <c r="D260" s="12">
        <v>7.934076125018551E-4</v>
      </c>
      <c r="E260" s="13">
        <v>3365.0</v>
      </c>
      <c r="F260" s="11" t="s">
        <v>14</v>
      </c>
      <c r="G260" s="11" t="s">
        <v>14</v>
      </c>
      <c r="H260" s="23"/>
      <c r="I260" s="23"/>
      <c r="J260" s="11" t="s">
        <v>148</v>
      </c>
      <c r="K260" s="23"/>
    </row>
    <row r="261">
      <c r="A261" s="9" t="s">
        <v>807</v>
      </c>
      <c r="B261" s="9" t="s">
        <v>808</v>
      </c>
      <c r="C261" s="10" t="s">
        <v>809</v>
      </c>
      <c r="D261" s="12">
        <v>7.934076125018551E-4</v>
      </c>
      <c r="E261" s="13">
        <v>87.0</v>
      </c>
      <c r="F261" s="16"/>
      <c r="G261" s="11" t="s">
        <v>148</v>
      </c>
      <c r="H261" s="16"/>
      <c r="I261" s="16"/>
      <c r="J261" s="16"/>
      <c r="K261" s="16"/>
    </row>
    <row r="262">
      <c r="A262" s="9" t="s">
        <v>810</v>
      </c>
      <c r="B262" s="31" t="s">
        <v>811</v>
      </c>
      <c r="C262" s="10"/>
      <c r="D262" s="12">
        <v>7.934076125018551E-4</v>
      </c>
      <c r="E262" s="13">
        <v>597.0</v>
      </c>
      <c r="F262" s="16"/>
      <c r="G262" s="11" t="s">
        <v>148</v>
      </c>
      <c r="H262" s="16"/>
      <c r="I262" s="16"/>
      <c r="J262" s="16"/>
      <c r="K262" s="16"/>
    </row>
    <row r="263">
      <c r="A263" s="9" t="s">
        <v>102</v>
      </c>
      <c r="B263" s="9" t="s">
        <v>103</v>
      </c>
      <c r="C263" s="10" t="s">
        <v>104</v>
      </c>
      <c r="D263" s="12">
        <v>7.934076125018551E-4</v>
      </c>
      <c r="E263" s="13">
        <v>2034.0</v>
      </c>
      <c r="F263" s="11" t="s">
        <v>14</v>
      </c>
      <c r="G263" s="11" t="s">
        <v>14</v>
      </c>
      <c r="H263" s="11" t="s">
        <v>14</v>
      </c>
      <c r="I263" s="11" t="s">
        <v>14</v>
      </c>
      <c r="J263" s="11" t="s">
        <v>14</v>
      </c>
      <c r="K263" s="11" t="s">
        <v>14</v>
      </c>
    </row>
    <row r="264">
      <c r="A264" s="9" t="s">
        <v>812</v>
      </c>
      <c r="B264" s="9" t="s">
        <v>813</v>
      </c>
      <c r="C264" s="10" t="s">
        <v>814</v>
      </c>
      <c r="D264" s="12">
        <v>7.934076125018551E-4</v>
      </c>
      <c r="E264" s="13">
        <v>207.0</v>
      </c>
      <c r="F264" s="16"/>
      <c r="G264" s="11" t="s">
        <v>148</v>
      </c>
      <c r="H264" s="16"/>
      <c r="I264" s="16"/>
      <c r="J264" s="16"/>
      <c r="K264" s="16"/>
    </row>
    <row r="265">
      <c r="A265" s="24" t="s">
        <v>815</v>
      </c>
      <c r="B265" s="24" t="s">
        <v>816</v>
      </c>
      <c r="C265" s="25" t="s">
        <v>817</v>
      </c>
      <c r="D265" s="26">
        <v>7.934076125018551E-4</v>
      </c>
      <c r="E265" s="27">
        <v>1981.0</v>
      </c>
      <c r="F265" s="28"/>
      <c r="G265" s="29" t="s">
        <v>14</v>
      </c>
      <c r="H265" s="28"/>
      <c r="I265" s="22" t="s">
        <v>148</v>
      </c>
      <c r="J265" s="22"/>
      <c r="K265" s="22"/>
    </row>
    <row r="266">
      <c r="A266" s="9" t="s">
        <v>818</v>
      </c>
      <c r="B266" s="9" t="s">
        <v>819</v>
      </c>
      <c r="C266" s="10" t="s">
        <v>820</v>
      </c>
      <c r="D266" s="12">
        <v>7.934076125018551E-4</v>
      </c>
      <c r="E266" s="13">
        <v>6.0</v>
      </c>
      <c r="F266" s="16"/>
      <c r="G266" s="11" t="s">
        <v>148</v>
      </c>
      <c r="H266" s="16"/>
      <c r="I266" s="16"/>
      <c r="J266" s="16"/>
      <c r="K266" s="16"/>
    </row>
    <row r="267">
      <c r="A267" s="24" t="s">
        <v>821</v>
      </c>
      <c r="B267" s="24" t="s">
        <v>822</v>
      </c>
      <c r="C267" s="25" t="s">
        <v>823</v>
      </c>
      <c r="D267" s="26">
        <v>7.934076125018551E-4</v>
      </c>
      <c r="E267" s="27">
        <v>8222.0</v>
      </c>
      <c r="F267" s="28"/>
      <c r="G267" s="29" t="s">
        <v>14</v>
      </c>
      <c r="H267" s="28"/>
      <c r="I267" s="22" t="s">
        <v>148</v>
      </c>
      <c r="J267" s="22"/>
      <c r="K267" s="22"/>
    </row>
    <row r="268">
      <c r="A268" s="9" t="s">
        <v>824</v>
      </c>
      <c r="B268" s="9" t="s">
        <v>825</v>
      </c>
      <c r="C268" s="10"/>
      <c r="D268" s="12">
        <v>7.934076125018551E-4</v>
      </c>
      <c r="E268" s="13">
        <v>2.0</v>
      </c>
      <c r="F268" s="16"/>
      <c r="G268" s="11" t="s">
        <v>148</v>
      </c>
      <c r="H268" s="16"/>
      <c r="I268" s="16"/>
      <c r="J268" s="16"/>
      <c r="K268" s="16"/>
    </row>
    <row r="269">
      <c r="A269" s="9" t="s">
        <v>826</v>
      </c>
      <c r="B269" s="9" t="s">
        <v>827</v>
      </c>
      <c r="C269" s="10" t="s">
        <v>828</v>
      </c>
      <c r="D269" s="12">
        <v>7.934076125018551E-4</v>
      </c>
      <c r="E269" s="13">
        <v>57.0</v>
      </c>
      <c r="F269" s="16"/>
      <c r="G269" s="11" t="s">
        <v>148</v>
      </c>
      <c r="H269" s="16"/>
      <c r="I269" s="16"/>
      <c r="J269" s="16"/>
      <c r="K269" s="16"/>
    </row>
    <row r="270">
      <c r="A270" s="9" t="s">
        <v>829</v>
      </c>
      <c r="B270" s="9" t="s">
        <v>830</v>
      </c>
      <c r="C270" s="10" t="s">
        <v>831</v>
      </c>
      <c r="D270" s="12">
        <v>7.934076125018551E-4</v>
      </c>
      <c r="E270" s="13">
        <v>78208.0</v>
      </c>
      <c r="F270" s="11" t="s">
        <v>14</v>
      </c>
      <c r="G270" s="11" t="s">
        <v>14</v>
      </c>
      <c r="H270" s="23"/>
      <c r="I270" s="11" t="s">
        <v>148</v>
      </c>
      <c r="J270" s="23"/>
      <c r="K270" s="23"/>
    </row>
    <row r="271">
      <c r="A271" s="9" t="s">
        <v>832</v>
      </c>
      <c r="B271" s="9" t="s">
        <v>833</v>
      </c>
      <c r="C271" s="10" t="s">
        <v>834</v>
      </c>
      <c r="D271" s="12">
        <v>7.934076125018551E-4</v>
      </c>
      <c r="E271" s="13">
        <v>3.0</v>
      </c>
      <c r="F271" s="16"/>
      <c r="G271" s="11" t="s">
        <v>148</v>
      </c>
      <c r="H271" s="16"/>
      <c r="I271" s="16"/>
      <c r="J271" s="16"/>
      <c r="K271" s="16"/>
    </row>
    <row r="272">
      <c r="A272" s="9" t="s">
        <v>835</v>
      </c>
      <c r="B272" s="9" t="s">
        <v>836</v>
      </c>
      <c r="C272" s="10" t="s">
        <v>837</v>
      </c>
      <c r="D272" s="12">
        <v>7.934076125018551E-4</v>
      </c>
      <c r="E272" s="13">
        <v>82.0</v>
      </c>
      <c r="F272" s="16"/>
      <c r="G272" s="11" t="s">
        <v>148</v>
      </c>
      <c r="H272" s="16"/>
      <c r="I272" s="16"/>
      <c r="J272" s="16"/>
      <c r="K272" s="16"/>
    </row>
    <row r="273">
      <c r="A273" s="9" t="s">
        <v>838</v>
      </c>
      <c r="B273" s="9" t="s">
        <v>839</v>
      </c>
      <c r="C273" s="10" t="s">
        <v>840</v>
      </c>
      <c r="D273" s="12">
        <v>7.934076125018551E-4</v>
      </c>
      <c r="E273" s="13">
        <v>55.0</v>
      </c>
      <c r="F273" s="16"/>
      <c r="G273" s="11" t="s">
        <v>148</v>
      </c>
      <c r="H273" s="16"/>
      <c r="I273" s="16"/>
      <c r="J273" s="16"/>
      <c r="K273" s="16"/>
    </row>
    <row r="274">
      <c r="A274" s="9" t="s">
        <v>841</v>
      </c>
      <c r="B274" s="9" t="s">
        <v>842</v>
      </c>
      <c r="C274" s="10" t="s">
        <v>843</v>
      </c>
      <c r="D274" s="12">
        <v>7.934076125018551E-4</v>
      </c>
      <c r="E274" s="13">
        <v>275.0</v>
      </c>
      <c r="F274" s="16"/>
      <c r="G274" s="11" t="s">
        <v>148</v>
      </c>
      <c r="H274" s="16"/>
      <c r="I274" s="16"/>
      <c r="J274" s="16"/>
      <c r="K274" s="16"/>
    </row>
    <row r="275">
      <c r="A275" s="9" t="s">
        <v>844</v>
      </c>
      <c r="B275" s="9" t="s">
        <v>845</v>
      </c>
      <c r="C275" s="10" t="s">
        <v>846</v>
      </c>
      <c r="D275" s="12">
        <v>7.934076125018551E-4</v>
      </c>
      <c r="E275" s="13">
        <v>404.0</v>
      </c>
      <c r="F275" s="16"/>
      <c r="G275" s="11" t="s">
        <v>148</v>
      </c>
      <c r="H275" s="16"/>
      <c r="I275" s="16"/>
      <c r="J275" s="16"/>
      <c r="K275" s="16"/>
    </row>
    <row r="276">
      <c r="A276" s="9" t="s">
        <v>847</v>
      </c>
      <c r="B276" s="9" t="s">
        <v>848</v>
      </c>
      <c r="C276" s="10" t="s">
        <v>849</v>
      </c>
      <c r="D276" s="12">
        <v>7.934076125018551E-4</v>
      </c>
      <c r="E276" s="13">
        <v>37.0</v>
      </c>
      <c r="F276" s="16"/>
      <c r="G276" s="11" t="s">
        <v>148</v>
      </c>
      <c r="H276" s="16"/>
      <c r="I276" s="16"/>
      <c r="J276" s="16"/>
      <c r="K276" s="16"/>
    </row>
    <row r="277">
      <c r="A277" s="9" t="s">
        <v>850</v>
      </c>
      <c r="B277" s="9" t="s">
        <v>851</v>
      </c>
      <c r="C277" s="10" t="s">
        <v>852</v>
      </c>
      <c r="D277" s="12">
        <v>7.934076125018551E-4</v>
      </c>
      <c r="E277" s="13">
        <v>21.0</v>
      </c>
      <c r="F277" s="16"/>
      <c r="G277" s="11" t="s">
        <v>148</v>
      </c>
      <c r="H277" s="16"/>
      <c r="I277" s="16"/>
      <c r="J277" s="16"/>
      <c r="K277" s="16"/>
    </row>
    <row r="278">
      <c r="A278" s="9" t="s">
        <v>853</v>
      </c>
      <c r="B278" s="9" t="s">
        <v>854</v>
      </c>
      <c r="C278" s="10" t="s">
        <v>855</v>
      </c>
      <c r="D278" s="12">
        <v>7.934076125018551E-4</v>
      </c>
      <c r="E278" s="13">
        <v>152.0</v>
      </c>
      <c r="F278" s="16"/>
      <c r="G278" s="11" t="s">
        <v>148</v>
      </c>
      <c r="H278" s="16"/>
      <c r="I278" s="16"/>
      <c r="J278" s="16"/>
      <c r="K278" s="16"/>
    </row>
    <row r="279">
      <c r="A279" s="9" t="s">
        <v>856</v>
      </c>
      <c r="B279" s="9" t="s">
        <v>857</v>
      </c>
      <c r="C279" s="10" t="s">
        <v>858</v>
      </c>
      <c r="D279" s="12">
        <v>7.934076125018551E-4</v>
      </c>
      <c r="E279" s="13">
        <v>212.0</v>
      </c>
      <c r="F279" s="16"/>
      <c r="G279" s="11" t="s">
        <v>148</v>
      </c>
      <c r="H279" s="16"/>
      <c r="I279" s="16"/>
      <c r="J279" s="16"/>
      <c r="K279" s="16"/>
    </row>
    <row r="280">
      <c r="A280" s="24" t="s">
        <v>859</v>
      </c>
      <c r="B280" s="24" t="s">
        <v>860</v>
      </c>
      <c r="C280" s="25" t="s">
        <v>861</v>
      </c>
      <c r="D280" s="26">
        <v>7.934076125018551E-4</v>
      </c>
      <c r="E280" s="27">
        <v>7570.0</v>
      </c>
      <c r="F280" s="28"/>
      <c r="G280" s="29" t="s">
        <v>14</v>
      </c>
      <c r="H280" s="28"/>
      <c r="I280" s="22" t="s">
        <v>148</v>
      </c>
      <c r="J280" s="22"/>
      <c r="K280" s="22"/>
    </row>
    <row r="281">
      <c r="A281" s="9" t="s">
        <v>862</v>
      </c>
      <c r="B281" s="9" t="s">
        <v>863</v>
      </c>
      <c r="C281" s="10"/>
      <c r="D281" s="12">
        <v>7.934076125018551E-4</v>
      </c>
      <c r="E281" s="13">
        <v>3798.0</v>
      </c>
      <c r="F281" s="11" t="s">
        <v>14</v>
      </c>
      <c r="G281" s="11" t="s">
        <v>14</v>
      </c>
      <c r="H281" s="23"/>
      <c r="I281" s="11" t="s">
        <v>148</v>
      </c>
      <c r="J281" s="23"/>
      <c r="K281" s="23"/>
    </row>
    <row r="282">
      <c r="A282" s="9" t="s">
        <v>864</v>
      </c>
      <c r="B282" s="9" t="s">
        <v>865</v>
      </c>
      <c r="C282" s="10" t="s">
        <v>866</v>
      </c>
      <c r="D282" s="12">
        <v>7.934076125018551E-4</v>
      </c>
      <c r="E282" s="13">
        <v>205.0</v>
      </c>
      <c r="F282" s="16"/>
      <c r="G282" s="11" t="s">
        <v>148</v>
      </c>
      <c r="H282" s="16"/>
      <c r="I282" s="16"/>
      <c r="J282" s="16"/>
      <c r="K282" s="16"/>
    </row>
    <row r="283">
      <c r="A283" s="9" t="s">
        <v>867</v>
      </c>
      <c r="B283" s="9" t="s">
        <v>868</v>
      </c>
      <c r="C283" s="10" t="s">
        <v>869</v>
      </c>
      <c r="D283" s="12">
        <v>7.934076125018551E-4</v>
      </c>
      <c r="E283" s="13">
        <v>15.0</v>
      </c>
      <c r="F283" s="16"/>
      <c r="G283" s="11" t="s">
        <v>148</v>
      </c>
      <c r="H283" s="16"/>
      <c r="I283" s="16"/>
      <c r="J283" s="16"/>
      <c r="K283" s="16"/>
    </row>
    <row r="284">
      <c r="A284" s="9" t="s">
        <v>870</v>
      </c>
      <c r="B284" s="9" t="s">
        <v>871</v>
      </c>
      <c r="C284" s="10" t="s">
        <v>872</v>
      </c>
      <c r="D284" s="12">
        <v>7.934076125018551E-4</v>
      </c>
      <c r="E284" s="13">
        <v>9.0</v>
      </c>
      <c r="F284" s="16"/>
      <c r="G284" s="11" t="s">
        <v>148</v>
      </c>
      <c r="H284" s="16"/>
      <c r="I284" s="16"/>
      <c r="J284" s="16"/>
      <c r="K284" s="16"/>
    </row>
    <row r="285">
      <c r="A285" s="9" t="s">
        <v>873</v>
      </c>
      <c r="B285" s="9" t="s">
        <v>874</v>
      </c>
      <c r="C285" s="10" t="s">
        <v>875</v>
      </c>
      <c r="D285" s="12">
        <v>7.934076125018551E-4</v>
      </c>
      <c r="E285" s="13">
        <v>273.0</v>
      </c>
      <c r="F285" s="16"/>
      <c r="G285" s="11" t="s">
        <v>148</v>
      </c>
      <c r="H285" s="16"/>
      <c r="I285" s="16"/>
      <c r="J285" s="16"/>
      <c r="K285" s="16"/>
    </row>
    <row r="286">
      <c r="A286" s="9" t="s">
        <v>876</v>
      </c>
      <c r="B286" s="31" t="s">
        <v>877</v>
      </c>
      <c r="C286" s="10"/>
      <c r="D286" s="12">
        <v>7.934076125018551E-4</v>
      </c>
      <c r="E286" s="13">
        <v>7.0</v>
      </c>
      <c r="F286" s="16"/>
      <c r="G286" s="11" t="s">
        <v>148</v>
      </c>
      <c r="H286" s="16"/>
      <c r="I286" s="16"/>
      <c r="J286" s="16"/>
      <c r="K286" s="16"/>
    </row>
    <row r="287">
      <c r="A287" s="9" t="s">
        <v>878</v>
      </c>
      <c r="B287" s="9" t="s">
        <v>879</v>
      </c>
      <c r="C287" s="10" t="s">
        <v>880</v>
      </c>
      <c r="D287" s="12">
        <v>7.934076125018551E-4</v>
      </c>
      <c r="E287" s="13">
        <v>322.0</v>
      </c>
      <c r="F287" s="16"/>
      <c r="G287" s="11" t="s">
        <v>148</v>
      </c>
      <c r="H287" s="16"/>
      <c r="I287" s="16"/>
      <c r="J287" s="16"/>
      <c r="K287" s="16"/>
    </row>
    <row r="288">
      <c r="A288" s="9" t="s">
        <v>105</v>
      </c>
      <c r="B288" s="9" t="s">
        <v>106</v>
      </c>
      <c r="C288" s="10" t="s">
        <v>107</v>
      </c>
      <c r="D288" s="12">
        <v>7.934076125018551E-4</v>
      </c>
      <c r="E288" s="13">
        <v>15134.0</v>
      </c>
      <c r="F288" s="11" t="s">
        <v>14</v>
      </c>
      <c r="G288" s="11" t="s">
        <v>14</v>
      </c>
      <c r="H288" s="11" t="s">
        <v>14</v>
      </c>
      <c r="I288" s="11" t="s">
        <v>14</v>
      </c>
      <c r="J288" s="11" t="s">
        <v>14</v>
      </c>
      <c r="K288" s="11" t="s">
        <v>14</v>
      </c>
    </row>
    <row r="289">
      <c r="A289" s="9" t="s">
        <v>881</v>
      </c>
      <c r="B289" s="9" t="s">
        <v>882</v>
      </c>
      <c r="C289" s="10"/>
      <c r="D289" s="12">
        <v>7.934076125018551E-4</v>
      </c>
      <c r="E289" s="13">
        <v>86.0</v>
      </c>
      <c r="F289" s="16"/>
      <c r="G289" s="11" t="s">
        <v>148</v>
      </c>
      <c r="H289" s="16"/>
      <c r="I289" s="16"/>
      <c r="J289" s="16"/>
      <c r="K289" s="16"/>
    </row>
    <row r="290">
      <c r="A290" s="9" t="s">
        <v>883</v>
      </c>
      <c r="B290" s="9" t="s">
        <v>884</v>
      </c>
      <c r="C290" s="10" t="s">
        <v>885</v>
      </c>
      <c r="D290" s="12">
        <v>7.934076125018551E-4</v>
      </c>
      <c r="E290" s="13">
        <v>91.0</v>
      </c>
      <c r="F290" s="16"/>
      <c r="G290" s="11" t="s">
        <v>148</v>
      </c>
      <c r="H290" s="16"/>
      <c r="I290" s="16"/>
      <c r="J290" s="16"/>
      <c r="K290" s="16"/>
    </row>
    <row r="291">
      <c r="A291" s="9" t="s">
        <v>886</v>
      </c>
      <c r="B291" s="9" t="s">
        <v>887</v>
      </c>
      <c r="C291" s="10" t="s">
        <v>888</v>
      </c>
      <c r="D291" s="12">
        <v>7.934076125018551E-4</v>
      </c>
      <c r="E291" s="13">
        <v>58.0</v>
      </c>
      <c r="F291" s="16"/>
      <c r="G291" s="11" t="s">
        <v>148</v>
      </c>
      <c r="H291" s="16"/>
      <c r="I291" s="16"/>
      <c r="J291" s="16"/>
      <c r="K291" s="16"/>
    </row>
    <row r="292">
      <c r="A292" s="9" t="s">
        <v>889</v>
      </c>
      <c r="B292" s="9" t="s">
        <v>890</v>
      </c>
      <c r="C292" s="10" t="s">
        <v>891</v>
      </c>
      <c r="D292" s="12">
        <v>7.934076125018551E-4</v>
      </c>
      <c r="E292" s="13">
        <v>131.0</v>
      </c>
      <c r="F292" s="16"/>
      <c r="G292" s="11" t="s">
        <v>148</v>
      </c>
      <c r="H292" s="16"/>
      <c r="I292" s="16"/>
      <c r="J292" s="16"/>
      <c r="K292" s="16"/>
    </row>
    <row r="293">
      <c r="A293" s="9" t="s">
        <v>892</v>
      </c>
      <c r="B293" s="9" t="s">
        <v>893</v>
      </c>
      <c r="C293" s="10" t="s">
        <v>894</v>
      </c>
      <c r="D293" s="12">
        <v>7.934076125018551E-4</v>
      </c>
      <c r="E293" s="13">
        <v>308.0</v>
      </c>
      <c r="F293" s="16"/>
      <c r="G293" s="11" t="s">
        <v>148</v>
      </c>
      <c r="H293" s="16"/>
      <c r="I293" s="16"/>
      <c r="J293" s="16"/>
      <c r="K293" s="16"/>
    </row>
    <row r="294">
      <c r="A294" s="9" t="s">
        <v>895</v>
      </c>
      <c r="B294" s="9" t="s">
        <v>896</v>
      </c>
      <c r="C294" s="10" t="s">
        <v>897</v>
      </c>
      <c r="D294" s="12">
        <v>7.934076125018551E-4</v>
      </c>
      <c r="E294" s="13">
        <v>614.0</v>
      </c>
      <c r="F294" s="16"/>
      <c r="G294" s="11" t="s">
        <v>148</v>
      </c>
      <c r="H294" s="16"/>
      <c r="I294" s="16"/>
      <c r="J294" s="16"/>
      <c r="K294" s="16"/>
    </row>
    <row r="295">
      <c r="A295" s="9" t="s">
        <v>898</v>
      </c>
      <c r="B295" s="9" t="s">
        <v>899</v>
      </c>
      <c r="C295" s="10" t="s">
        <v>900</v>
      </c>
      <c r="D295" s="12">
        <v>7.934076125018551E-4</v>
      </c>
      <c r="E295" s="13">
        <v>21.0</v>
      </c>
      <c r="F295" s="16"/>
      <c r="G295" s="11" t="s">
        <v>148</v>
      </c>
      <c r="H295" s="16"/>
      <c r="I295" s="16"/>
      <c r="J295" s="16"/>
      <c r="K295" s="16"/>
    </row>
    <row r="296">
      <c r="A296" s="9" t="s">
        <v>901</v>
      </c>
      <c r="B296" s="9" t="s">
        <v>902</v>
      </c>
      <c r="C296" s="10" t="s">
        <v>903</v>
      </c>
      <c r="D296" s="12">
        <v>7.934076125018551E-4</v>
      </c>
      <c r="E296" s="13">
        <v>2.0</v>
      </c>
      <c r="F296" s="16"/>
      <c r="G296" s="11" t="s">
        <v>148</v>
      </c>
      <c r="H296" s="16"/>
      <c r="I296" s="16"/>
      <c r="J296" s="16"/>
      <c r="K296" s="16"/>
    </row>
    <row r="297">
      <c r="A297" s="9" t="s">
        <v>904</v>
      </c>
      <c r="B297" s="9" t="s">
        <v>905</v>
      </c>
      <c r="C297" s="10"/>
      <c r="D297" s="12">
        <v>7.934076125018551E-4</v>
      </c>
      <c r="E297" s="13">
        <v>21.0</v>
      </c>
      <c r="F297" s="16"/>
      <c r="G297" s="11" t="s">
        <v>148</v>
      </c>
      <c r="H297" s="16"/>
      <c r="I297" s="16"/>
      <c r="J297" s="16"/>
      <c r="K297" s="16"/>
    </row>
    <row r="298">
      <c r="A298" s="9" t="s">
        <v>906</v>
      </c>
      <c r="B298" s="9" t="s">
        <v>907</v>
      </c>
      <c r="C298" s="10"/>
      <c r="D298" s="12">
        <v>7.934076125018551E-4</v>
      </c>
      <c r="E298" s="13">
        <v>5.0</v>
      </c>
      <c r="F298" s="16"/>
      <c r="G298" s="11" t="s">
        <v>148</v>
      </c>
      <c r="H298" s="16"/>
      <c r="I298" s="16"/>
      <c r="J298" s="16"/>
      <c r="K298" s="16"/>
    </row>
    <row r="299">
      <c r="A299" s="9" t="s">
        <v>908</v>
      </c>
      <c r="B299" s="9" t="s">
        <v>909</v>
      </c>
      <c r="C299" s="10"/>
      <c r="D299" s="12">
        <v>7.934076125018551E-4</v>
      </c>
      <c r="E299" s="13">
        <v>23.0</v>
      </c>
      <c r="F299" s="16"/>
      <c r="G299" s="11" t="s">
        <v>148</v>
      </c>
      <c r="H299" s="16"/>
      <c r="I299" s="16"/>
      <c r="J299" s="16"/>
      <c r="K299" s="16"/>
    </row>
    <row r="300">
      <c r="A300" s="9" t="s">
        <v>910</v>
      </c>
      <c r="B300" s="9" t="s">
        <v>911</v>
      </c>
      <c r="C300" s="10" t="s">
        <v>912</v>
      </c>
      <c r="D300" s="12">
        <v>7.934076125018551E-4</v>
      </c>
      <c r="E300" s="13">
        <v>15.0</v>
      </c>
      <c r="F300" s="16"/>
      <c r="G300" s="11" t="s">
        <v>148</v>
      </c>
      <c r="H300" s="16"/>
      <c r="I300" s="16"/>
      <c r="J300" s="16"/>
      <c r="K300" s="16"/>
    </row>
    <row r="301">
      <c r="A301" s="9" t="s">
        <v>913</v>
      </c>
      <c r="B301" s="9" t="s">
        <v>914</v>
      </c>
      <c r="C301" s="10" t="s">
        <v>915</v>
      </c>
      <c r="D301" s="12">
        <v>7.934076125018551E-4</v>
      </c>
      <c r="E301" s="13">
        <v>1922.0</v>
      </c>
      <c r="F301" s="11" t="s">
        <v>14</v>
      </c>
      <c r="G301" s="11" t="s">
        <v>14</v>
      </c>
      <c r="H301" s="23"/>
      <c r="I301" s="11" t="s">
        <v>148</v>
      </c>
      <c r="J301" s="23"/>
      <c r="K301" s="23"/>
    </row>
    <row r="302">
      <c r="A302" s="9" t="s">
        <v>916</v>
      </c>
      <c r="B302" s="9" t="s">
        <v>917</v>
      </c>
      <c r="C302" s="10"/>
      <c r="D302" s="12">
        <v>7.934076125018551E-4</v>
      </c>
      <c r="E302" s="13">
        <v>60.0</v>
      </c>
      <c r="F302" s="16"/>
      <c r="G302" s="11" t="s">
        <v>148</v>
      </c>
      <c r="H302" s="16"/>
      <c r="I302" s="16"/>
      <c r="J302" s="16"/>
      <c r="K302" s="16"/>
    </row>
    <row r="303">
      <c r="A303" s="9" t="s">
        <v>918</v>
      </c>
      <c r="B303" s="9" t="s">
        <v>919</v>
      </c>
      <c r="C303" s="10" t="s">
        <v>920</v>
      </c>
      <c r="D303" s="12">
        <v>7.934076125018551E-4</v>
      </c>
      <c r="E303" s="13">
        <v>26.0</v>
      </c>
      <c r="F303" s="16"/>
      <c r="G303" s="11" t="s">
        <v>148</v>
      </c>
      <c r="H303" s="16"/>
      <c r="I303" s="16"/>
      <c r="J303" s="16"/>
      <c r="K303" s="16"/>
    </row>
    <row r="304">
      <c r="A304" s="9" t="s">
        <v>921</v>
      </c>
      <c r="B304" s="9" t="s">
        <v>922</v>
      </c>
      <c r="C304" s="10" t="s">
        <v>923</v>
      </c>
      <c r="D304" s="12">
        <v>7.934076125018551E-4</v>
      </c>
      <c r="E304" s="13">
        <v>45.0</v>
      </c>
      <c r="F304" s="16"/>
      <c r="G304" s="11" t="s">
        <v>148</v>
      </c>
      <c r="H304" s="16"/>
      <c r="I304" s="16"/>
      <c r="J304" s="16"/>
      <c r="K304" s="16"/>
    </row>
    <row r="305">
      <c r="A305" s="9" t="s">
        <v>924</v>
      </c>
      <c r="B305" s="9" t="s">
        <v>925</v>
      </c>
      <c r="C305" s="10" t="s">
        <v>926</v>
      </c>
      <c r="D305" s="12">
        <v>7.934076125018551E-4</v>
      </c>
      <c r="E305" s="13">
        <v>40.0</v>
      </c>
      <c r="F305" s="16"/>
      <c r="G305" s="11" t="s">
        <v>148</v>
      </c>
      <c r="H305" s="16"/>
      <c r="I305" s="16"/>
      <c r="J305" s="16"/>
      <c r="K305" s="16"/>
    </row>
    <row r="306">
      <c r="A306" s="9" t="s">
        <v>927</v>
      </c>
      <c r="B306" s="9" t="s">
        <v>928</v>
      </c>
      <c r="C306" s="10" t="s">
        <v>929</v>
      </c>
      <c r="D306" s="12">
        <v>7.934076125018551E-4</v>
      </c>
      <c r="E306" s="13">
        <v>174.0</v>
      </c>
      <c r="F306" s="16"/>
      <c r="G306" s="11" t="s">
        <v>148</v>
      </c>
      <c r="H306" s="16"/>
      <c r="I306" s="16"/>
      <c r="J306" s="16"/>
      <c r="K306" s="16"/>
    </row>
    <row r="307">
      <c r="A307" s="9" t="s">
        <v>930</v>
      </c>
      <c r="B307" s="9" t="s">
        <v>931</v>
      </c>
      <c r="C307" s="10" t="s">
        <v>932</v>
      </c>
      <c r="D307" s="12">
        <v>7.934076125018551E-4</v>
      </c>
      <c r="E307" s="13">
        <v>47.0</v>
      </c>
      <c r="F307" s="16"/>
      <c r="G307" s="11" t="s">
        <v>148</v>
      </c>
      <c r="H307" s="16"/>
      <c r="I307" s="16"/>
      <c r="J307" s="16"/>
      <c r="K307" s="16"/>
    </row>
    <row r="308">
      <c r="A308" s="9" t="s">
        <v>933</v>
      </c>
      <c r="B308" s="9" t="s">
        <v>934</v>
      </c>
      <c r="C308" s="10" t="s">
        <v>935</v>
      </c>
      <c r="D308" s="12">
        <v>7.934076125018551E-4</v>
      </c>
      <c r="E308" s="13">
        <v>35410.0</v>
      </c>
      <c r="F308" s="11" t="s">
        <v>14</v>
      </c>
      <c r="G308" s="11" t="s">
        <v>14</v>
      </c>
      <c r="H308" s="23"/>
      <c r="I308" s="11" t="s">
        <v>148</v>
      </c>
      <c r="J308" s="23"/>
      <c r="K308" s="23"/>
    </row>
    <row r="309">
      <c r="A309" s="9" t="s">
        <v>936</v>
      </c>
      <c r="B309" s="9" t="s">
        <v>937</v>
      </c>
      <c r="C309" s="10" t="s">
        <v>938</v>
      </c>
      <c r="D309" s="12">
        <v>7.934076125018551E-4</v>
      </c>
      <c r="E309" s="13">
        <v>3.0</v>
      </c>
      <c r="F309" s="16"/>
      <c r="G309" s="11" t="s">
        <v>148</v>
      </c>
      <c r="H309" s="16"/>
      <c r="I309" s="16"/>
      <c r="J309" s="16"/>
      <c r="K309" s="16"/>
    </row>
    <row r="310">
      <c r="A310" s="9" t="s">
        <v>108</v>
      </c>
      <c r="B310" s="9" t="s">
        <v>109</v>
      </c>
      <c r="C310" s="10" t="s">
        <v>110</v>
      </c>
      <c r="D310" s="12">
        <v>7.934076125018551E-4</v>
      </c>
      <c r="E310" s="13">
        <v>8377.0</v>
      </c>
      <c r="F310" s="11" t="s">
        <v>14</v>
      </c>
      <c r="G310" s="11" t="s">
        <v>14</v>
      </c>
      <c r="H310" s="11" t="s">
        <v>14</v>
      </c>
      <c r="I310" s="11" t="s">
        <v>14</v>
      </c>
      <c r="J310" s="11" t="s">
        <v>14</v>
      </c>
      <c r="K310" s="11" t="s">
        <v>14</v>
      </c>
    </row>
    <row r="311">
      <c r="A311" s="9" t="s">
        <v>939</v>
      </c>
      <c r="B311" s="9" t="s">
        <v>940</v>
      </c>
      <c r="C311" s="10" t="s">
        <v>941</v>
      </c>
      <c r="D311" s="12">
        <v>7.934076125018551E-4</v>
      </c>
      <c r="E311" s="13">
        <v>201.0</v>
      </c>
      <c r="F311" s="16"/>
      <c r="G311" s="11" t="s">
        <v>148</v>
      </c>
      <c r="H311" s="16"/>
      <c r="I311" s="16"/>
      <c r="J311" s="16"/>
      <c r="K311" s="16"/>
    </row>
    <row r="312">
      <c r="A312" s="9" t="s">
        <v>942</v>
      </c>
      <c r="B312" s="9" t="s">
        <v>943</v>
      </c>
      <c r="C312" s="10" t="s">
        <v>944</v>
      </c>
      <c r="D312" s="12">
        <v>7.934076125018551E-4</v>
      </c>
      <c r="E312" s="13">
        <v>83608.0</v>
      </c>
      <c r="F312" s="11" t="s">
        <v>14</v>
      </c>
      <c r="G312" s="11" t="s">
        <v>14</v>
      </c>
      <c r="H312" s="23"/>
      <c r="I312" s="11" t="s">
        <v>148</v>
      </c>
      <c r="J312" s="23"/>
      <c r="K312" s="23"/>
    </row>
    <row r="313">
      <c r="A313" s="9" t="s">
        <v>945</v>
      </c>
      <c r="B313" s="9" t="s">
        <v>946</v>
      </c>
      <c r="C313" s="10" t="s">
        <v>947</v>
      </c>
      <c r="D313" s="12">
        <v>7.934076125018551E-4</v>
      </c>
      <c r="E313" s="13">
        <v>757.0</v>
      </c>
      <c r="F313" s="16"/>
      <c r="G313" s="11" t="s">
        <v>148</v>
      </c>
      <c r="H313" s="16"/>
      <c r="I313" s="16"/>
      <c r="J313" s="16"/>
      <c r="K313" s="16"/>
    </row>
    <row r="314">
      <c r="A314" s="9" t="s">
        <v>948</v>
      </c>
      <c r="B314" s="9" t="s">
        <v>949</v>
      </c>
      <c r="C314" s="10" t="s">
        <v>950</v>
      </c>
      <c r="D314" s="12">
        <v>7.934076125018551E-4</v>
      </c>
      <c r="E314" s="13">
        <v>40.0</v>
      </c>
      <c r="F314" s="16"/>
      <c r="G314" s="11" t="s">
        <v>148</v>
      </c>
      <c r="H314" s="16"/>
      <c r="I314" s="16"/>
      <c r="J314" s="16"/>
      <c r="K314" s="16"/>
    </row>
    <row r="315">
      <c r="A315" s="9" t="s">
        <v>951</v>
      </c>
      <c r="B315" s="9" t="s">
        <v>952</v>
      </c>
      <c r="C315" s="10" t="s">
        <v>953</v>
      </c>
      <c r="D315" s="12">
        <v>7.934076125018551E-4</v>
      </c>
      <c r="E315" s="13">
        <v>649.0</v>
      </c>
      <c r="F315" s="16"/>
      <c r="G315" s="11" t="s">
        <v>148</v>
      </c>
      <c r="H315" s="16"/>
      <c r="I315" s="16"/>
      <c r="J315" s="16"/>
      <c r="K315" s="16"/>
    </row>
    <row r="316">
      <c r="A316" s="9" t="s">
        <v>954</v>
      </c>
      <c r="B316" s="9" t="s">
        <v>955</v>
      </c>
      <c r="C316" s="10" t="s">
        <v>956</v>
      </c>
      <c r="D316" s="12">
        <v>7.934076125018551E-4</v>
      </c>
      <c r="E316" s="13">
        <v>57.0</v>
      </c>
      <c r="F316" s="16"/>
      <c r="G316" s="11" t="s">
        <v>148</v>
      </c>
      <c r="H316" s="16"/>
      <c r="I316" s="16"/>
      <c r="J316" s="16"/>
      <c r="K316" s="16"/>
    </row>
    <row r="317">
      <c r="A317" s="9" t="s">
        <v>957</v>
      </c>
      <c r="B317" s="9" t="s">
        <v>958</v>
      </c>
      <c r="C317" s="10" t="s">
        <v>959</v>
      </c>
      <c r="D317" s="12">
        <v>7.934076125018551E-4</v>
      </c>
      <c r="E317" s="13">
        <v>28639.0</v>
      </c>
      <c r="F317" s="11" t="s">
        <v>14</v>
      </c>
      <c r="G317" s="11" t="s">
        <v>14</v>
      </c>
      <c r="H317" s="23"/>
      <c r="I317" s="11" t="s">
        <v>148</v>
      </c>
      <c r="J317" s="23"/>
      <c r="K317" s="23"/>
    </row>
    <row r="318">
      <c r="A318" s="9" t="s">
        <v>960</v>
      </c>
      <c r="B318" s="9" t="s">
        <v>961</v>
      </c>
      <c r="C318" s="10" t="s">
        <v>962</v>
      </c>
      <c r="D318" s="12">
        <v>7.934076125018551E-4</v>
      </c>
      <c r="E318" s="13">
        <v>17.0</v>
      </c>
      <c r="F318" s="16"/>
      <c r="G318" s="11" t="s">
        <v>148</v>
      </c>
      <c r="H318" s="16"/>
      <c r="I318" s="16"/>
      <c r="J318" s="16"/>
      <c r="K318" s="16"/>
    </row>
    <row r="319">
      <c r="A319" s="9" t="s">
        <v>963</v>
      </c>
      <c r="B319" s="9" t="s">
        <v>964</v>
      </c>
      <c r="C319" s="10" t="s">
        <v>965</v>
      </c>
      <c r="D319" s="12">
        <v>7.934076125018551E-4</v>
      </c>
      <c r="E319" s="13">
        <v>20.0</v>
      </c>
      <c r="F319" s="16"/>
      <c r="G319" s="11" t="s">
        <v>148</v>
      </c>
      <c r="H319" s="16"/>
      <c r="I319" s="16"/>
      <c r="J319" s="16"/>
      <c r="K319" s="16"/>
    </row>
    <row r="320">
      <c r="A320" s="9" t="s">
        <v>966</v>
      </c>
      <c r="B320" s="9" t="s">
        <v>967</v>
      </c>
      <c r="C320" s="10"/>
      <c r="D320" s="12">
        <v>7.934076125018551E-4</v>
      </c>
      <c r="E320" s="13">
        <v>12.0</v>
      </c>
      <c r="F320" s="16"/>
      <c r="G320" s="11" t="s">
        <v>148</v>
      </c>
      <c r="H320" s="16"/>
      <c r="I320" s="16"/>
      <c r="J320" s="16"/>
      <c r="K320" s="16"/>
    </row>
    <row r="321">
      <c r="A321" s="9" t="s">
        <v>968</v>
      </c>
      <c r="B321" s="9" t="s">
        <v>969</v>
      </c>
      <c r="C321" s="10" t="s">
        <v>970</v>
      </c>
      <c r="D321" s="12">
        <v>7.934076125018551E-4</v>
      </c>
      <c r="E321" s="13">
        <v>88.0</v>
      </c>
      <c r="F321" s="16"/>
      <c r="G321" s="11" t="s">
        <v>148</v>
      </c>
      <c r="H321" s="16"/>
      <c r="I321" s="16"/>
      <c r="J321" s="16"/>
      <c r="K321" s="16"/>
    </row>
    <row r="322">
      <c r="A322" s="9" t="s">
        <v>971</v>
      </c>
      <c r="B322" s="9" t="s">
        <v>972</v>
      </c>
      <c r="C322" s="10" t="s">
        <v>973</v>
      </c>
      <c r="D322" s="12">
        <v>7.934076125018551E-4</v>
      </c>
      <c r="E322" s="13">
        <v>239.0</v>
      </c>
      <c r="F322" s="16"/>
      <c r="G322" s="11" t="s">
        <v>148</v>
      </c>
      <c r="H322" s="16"/>
      <c r="I322" s="16"/>
      <c r="J322" s="16"/>
      <c r="K322" s="16"/>
    </row>
    <row r="323">
      <c r="A323" s="9" t="s">
        <v>974</v>
      </c>
      <c r="B323" s="9" t="s">
        <v>975</v>
      </c>
      <c r="C323" s="10" t="s">
        <v>976</v>
      </c>
      <c r="D323" s="12">
        <v>7.934076125018551E-4</v>
      </c>
      <c r="E323" s="13">
        <v>6.0</v>
      </c>
      <c r="F323" s="16"/>
      <c r="G323" s="11" t="s">
        <v>148</v>
      </c>
      <c r="H323" s="16"/>
      <c r="I323" s="16"/>
      <c r="J323" s="16"/>
      <c r="K323" s="16"/>
    </row>
    <row r="324">
      <c r="A324" s="9" t="s">
        <v>977</v>
      </c>
      <c r="B324" s="9" t="s">
        <v>978</v>
      </c>
      <c r="C324" s="10" t="s">
        <v>979</v>
      </c>
      <c r="D324" s="12">
        <v>7.934076125018551E-4</v>
      </c>
      <c r="E324" s="13">
        <v>13.0</v>
      </c>
      <c r="F324" s="16"/>
      <c r="G324" s="11" t="s">
        <v>148</v>
      </c>
      <c r="H324" s="16"/>
      <c r="I324" s="16"/>
      <c r="J324" s="16"/>
      <c r="K324" s="16"/>
    </row>
    <row r="325">
      <c r="A325" s="9" t="s">
        <v>980</v>
      </c>
      <c r="B325" s="9" t="s">
        <v>981</v>
      </c>
      <c r="C325" s="10" t="s">
        <v>982</v>
      </c>
      <c r="D325" s="12">
        <v>7.934076125018551E-4</v>
      </c>
      <c r="E325" s="13">
        <v>173.0</v>
      </c>
      <c r="F325" s="16"/>
      <c r="G325" s="11" t="s">
        <v>148</v>
      </c>
      <c r="H325" s="16"/>
      <c r="I325" s="16"/>
      <c r="J325" s="16"/>
      <c r="K325" s="16"/>
    </row>
    <row r="326">
      <c r="A326" s="9" t="s">
        <v>983</v>
      </c>
      <c r="B326" s="9" t="s">
        <v>984</v>
      </c>
      <c r="C326" s="10" t="s">
        <v>985</v>
      </c>
      <c r="D326" s="12">
        <v>7.934076125018551E-4</v>
      </c>
      <c r="E326" s="13">
        <v>579.0</v>
      </c>
      <c r="F326" s="16"/>
      <c r="G326" s="11" t="s">
        <v>148</v>
      </c>
      <c r="H326" s="16"/>
      <c r="I326" s="16"/>
      <c r="J326" s="16"/>
      <c r="K326" s="16"/>
    </row>
    <row r="327">
      <c r="A327" s="9" t="s">
        <v>986</v>
      </c>
      <c r="B327" s="9" t="s">
        <v>987</v>
      </c>
      <c r="C327" s="10" t="s">
        <v>988</v>
      </c>
      <c r="D327" s="12">
        <v>7.934076125018551E-4</v>
      </c>
      <c r="E327" s="13">
        <v>30.0</v>
      </c>
      <c r="F327" s="16"/>
      <c r="G327" s="11" t="s">
        <v>148</v>
      </c>
      <c r="H327" s="16"/>
      <c r="I327" s="16"/>
      <c r="J327" s="16"/>
      <c r="K327" s="16"/>
    </row>
    <row r="328">
      <c r="A328" s="9" t="s">
        <v>989</v>
      </c>
      <c r="B328" s="9" t="s">
        <v>599</v>
      </c>
      <c r="C328" s="10" t="s">
        <v>990</v>
      </c>
      <c r="D328" s="12">
        <v>7.934076125018551E-4</v>
      </c>
      <c r="E328" s="13">
        <v>33.0</v>
      </c>
      <c r="F328" s="16"/>
      <c r="G328" s="11" t="s">
        <v>148</v>
      </c>
      <c r="H328" s="16"/>
      <c r="I328" s="16"/>
      <c r="J328" s="16"/>
      <c r="K328" s="16"/>
    </row>
    <row r="329">
      <c r="A329" s="9" t="s">
        <v>111</v>
      </c>
      <c r="B329" s="9" t="s">
        <v>112</v>
      </c>
      <c r="C329" s="10" t="s">
        <v>113</v>
      </c>
      <c r="D329" s="12">
        <v>7.934076125018551E-4</v>
      </c>
      <c r="E329" s="13">
        <v>1395.0</v>
      </c>
      <c r="F329" s="11" t="s">
        <v>14</v>
      </c>
      <c r="G329" s="11" t="s">
        <v>14</v>
      </c>
      <c r="H329" s="11" t="s">
        <v>14</v>
      </c>
      <c r="I329" s="11" t="s">
        <v>14</v>
      </c>
      <c r="J329" s="11" t="s">
        <v>14</v>
      </c>
      <c r="K329" s="11" t="s">
        <v>14</v>
      </c>
    </row>
    <row r="330">
      <c r="A330" s="9" t="s">
        <v>991</v>
      </c>
      <c r="B330" s="9" t="s">
        <v>992</v>
      </c>
      <c r="C330" s="10" t="s">
        <v>993</v>
      </c>
      <c r="D330" s="12">
        <v>7.934076125018551E-4</v>
      </c>
      <c r="E330" s="13">
        <v>150.0</v>
      </c>
      <c r="F330" s="16"/>
      <c r="G330" s="11" t="s">
        <v>148</v>
      </c>
      <c r="H330" s="16"/>
      <c r="I330" s="16"/>
      <c r="J330" s="16"/>
      <c r="K330" s="16"/>
    </row>
    <row r="331">
      <c r="A331" s="9" t="s">
        <v>994</v>
      </c>
      <c r="B331" s="9" t="s">
        <v>995</v>
      </c>
      <c r="C331" s="10" t="s">
        <v>996</v>
      </c>
      <c r="D331" s="12">
        <v>7.934076125018551E-4</v>
      </c>
      <c r="E331" s="13">
        <v>6.0</v>
      </c>
      <c r="F331" s="16"/>
      <c r="G331" s="11" t="s">
        <v>148</v>
      </c>
      <c r="H331" s="16"/>
      <c r="I331" s="16"/>
      <c r="J331" s="16"/>
      <c r="K331" s="16"/>
    </row>
    <row r="332">
      <c r="A332" s="9" t="s">
        <v>997</v>
      </c>
      <c r="B332" s="9" t="s">
        <v>998</v>
      </c>
      <c r="C332" s="10" t="s">
        <v>999</v>
      </c>
      <c r="D332" s="12">
        <v>7.934076125018551E-4</v>
      </c>
      <c r="E332" s="13">
        <v>699.0</v>
      </c>
      <c r="F332" s="16"/>
      <c r="G332" s="11" t="s">
        <v>148</v>
      </c>
      <c r="H332" s="16"/>
      <c r="I332" s="16"/>
      <c r="J332" s="16"/>
      <c r="K332" s="16"/>
    </row>
    <row r="333">
      <c r="A333" s="9" t="s">
        <v>1000</v>
      </c>
      <c r="B333" s="9" t="s">
        <v>1001</v>
      </c>
      <c r="C333" s="10" t="s">
        <v>1002</v>
      </c>
      <c r="D333" s="12">
        <v>7.934076125018551E-4</v>
      </c>
      <c r="E333" s="13">
        <v>5.0</v>
      </c>
      <c r="F333" s="16"/>
      <c r="G333" s="11" t="s">
        <v>148</v>
      </c>
      <c r="H333" s="16"/>
      <c r="I333" s="16"/>
      <c r="J333" s="16"/>
      <c r="K333" s="16"/>
    </row>
    <row r="334">
      <c r="A334" s="9" t="s">
        <v>1003</v>
      </c>
      <c r="B334" s="9" t="s">
        <v>1004</v>
      </c>
      <c r="C334" s="10" t="s">
        <v>1005</v>
      </c>
      <c r="D334" s="12">
        <v>7.934076125018551E-4</v>
      </c>
      <c r="E334" s="13">
        <v>109.0</v>
      </c>
      <c r="F334" s="16"/>
      <c r="G334" s="11" t="s">
        <v>148</v>
      </c>
      <c r="H334" s="16"/>
      <c r="I334" s="16"/>
      <c r="J334" s="16"/>
      <c r="K334" s="16"/>
    </row>
    <row r="335">
      <c r="A335" s="24" t="s">
        <v>1006</v>
      </c>
      <c r="B335" s="24" t="s">
        <v>1007</v>
      </c>
      <c r="C335" s="25" t="s">
        <v>1008</v>
      </c>
      <c r="D335" s="26">
        <v>7.934076125018551E-4</v>
      </c>
      <c r="E335" s="27">
        <v>43782.0</v>
      </c>
      <c r="F335" s="28"/>
      <c r="G335" s="29" t="s">
        <v>14</v>
      </c>
      <c r="H335" s="28"/>
      <c r="I335" s="22" t="s">
        <v>148</v>
      </c>
      <c r="J335" s="22"/>
      <c r="K335" s="22"/>
    </row>
    <row r="336">
      <c r="A336" s="9" t="s">
        <v>1009</v>
      </c>
      <c r="B336" s="9" t="s">
        <v>1010</v>
      </c>
      <c r="C336" s="10" t="s">
        <v>1011</v>
      </c>
      <c r="D336" s="12">
        <v>7.934076125018551E-4</v>
      </c>
      <c r="E336" s="13">
        <v>200.0</v>
      </c>
      <c r="F336" s="16"/>
      <c r="G336" s="11" t="s">
        <v>148</v>
      </c>
      <c r="H336" s="16"/>
      <c r="I336" s="16"/>
      <c r="J336" s="16"/>
      <c r="K336" s="16"/>
    </row>
    <row r="337">
      <c r="A337" s="9" t="s">
        <v>1012</v>
      </c>
      <c r="B337" s="9" t="s">
        <v>1013</v>
      </c>
      <c r="C337" s="10" t="s">
        <v>1014</v>
      </c>
      <c r="D337" s="12">
        <v>7.934076125018551E-4</v>
      </c>
      <c r="E337" s="13">
        <v>727.0</v>
      </c>
      <c r="F337" s="16"/>
      <c r="G337" s="11" t="s">
        <v>148</v>
      </c>
      <c r="H337" s="16"/>
      <c r="I337" s="16"/>
      <c r="J337" s="16"/>
      <c r="K337" s="16"/>
    </row>
    <row r="338">
      <c r="A338" s="9" t="s">
        <v>1015</v>
      </c>
      <c r="B338" s="9" t="s">
        <v>1016</v>
      </c>
      <c r="C338" s="10" t="s">
        <v>1017</v>
      </c>
      <c r="D338" s="12">
        <v>7.934076125018551E-4</v>
      </c>
      <c r="E338" s="13">
        <v>114.0</v>
      </c>
      <c r="F338" s="16"/>
      <c r="G338" s="11" t="s">
        <v>148</v>
      </c>
      <c r="H338" s="16"/>
      <c r="I338" s="16"/>
      <c r="J338" s="16"/>
      <c r="K338" s="16"/>
    </row>
    <row r="339">
      <c r="A339" s="9" t="s">
        <v>1018</v>
      </c>
      <c r="B339" s="9" t="s">
        <v>1019</v>
      </c>
      <c r="C339" s="10" t="s">
        <v>1020</v>
      </c>
      <c r="D339" s="12">
        <v>7.934076125018551E-4</v>
      </c>
      <c r="E339" s="13">
        <v>1653.0</v>
      </c>
      <c r="F339" s="11" t="s">
        <v>14</v>
      </c>
      <c r="G339" s="11" t="s">
        <v>14</v>
      </c>
      <c r="H339" s="23"/>
      <c r="I339" s="11" t="s">
        <v>148</v>
      </c>
      <c r="J339" s="23"/>
      <c r="K339" s="23"/>
    </row>
    <row r="340">
      <c r="A340" s="9" t="s">
        <v>1021</v>
      </c>
      <c r="B340" s="9" t="s">
        <v>1022</v>
      </c>
      <c r="C340" s="10"/>
      <c r="D340" s="12">
        <v>7.934076125018551E-4</v>
      </c>
      <c r="E340" s="13">
        <v>25.0</v>
      </c>
      <c r="F340" s="16"/>
      <c r="G340" s="11" t="s">
        <v>148</v>
      </c>
      <c r="H340" s="16"/>
      <c r="I340" s="16"/>
      <c r="J340" s="16"/>
      <c r="K340" s="16"/>
    </row>
    <row r="341">
      <c r="A341" s="9" t="s">
        <v>1023</v>
      </c>
      <c r="B341" s="9" t="s">
        <v>1024</v>
      </c>
      <c r="C341" s="10" t="s">
        <v>1025</v>
      </c>
      <c r="D341" s="12">
        <v>7.934076125018551E-4</v>
      </c>
      <c r="E341" s="13">
        <v>3.0</v>
      </c>
      <c r="F341" s="16"/>
      <c r="G341" s="11" t="s">
        <v>148</v>
      </c>
      <c r="H341" s="16"/>
      <c r="I341" s="16"/>
      <c r="J341" s="16"/>
      <c r="K341" s="16"/>
    </row>
    <row r="342">
      <c r="A342" s="9" t="s">
        <v>1026</v>
      </c>
      <c r="B342" s="9" t="s">
        <v>1027</v>
      </c>
      <c r="C342" s="10" t="s">
        <v>1028</v>
      </c>
      <c r="D342" s="12">
        <v>7.934076125018551E-4</v>
      </c>
      <c r="E342" s="13">
        <v>334.0</v>
      </c>
      <c r="F342" s="16"/>
      <c r="G342" s="11" t="s">
        <v>148</v>
      </c>
      <c r="H342" s="16"/>
      <c r="I342" s="16"/>
      <c r="J342" s="16"/>
      <c r="K342" s="16"/>
    </row>
    <row r="343">
      <c r="A343" s="9" t="s">
        <v>1029</v>
      </c>
      <c r="B343" s="9" t="s">
        <v>1030</v>
      </c>
      <c r="C343" s="10" t="s">
        <v>1031</v>
      </c>
      <c r="D343" s="12">
        <v>7.934076125018551E-4</v>
      </c>
      <c r="E343" s="13">
        <v>641.0</v>
      </c>
      <c r="F343" s="16"/>
      <c r="G343" s="11" t="s">
        <v>148</v>
      </c>
      <c r="H343" s="16"/>
      <c r="I343" s="16"/>
      <c r="J343" s="16"/>
      <c r="K343" s="16"/>
    </row>
    <row r="344">
      <c r="A344" s="9" t="s">
        <v>1032</v>
      </c>
      <c r="B344" s="9" t="s">
        <v>1033</v>
      </c>
      <c r="C344" s="10" t="s">
        <v>1034</v>
      </c>
      <c r="D344" s="12">
        <v>7.934076125018551E-4</v>
      </c>
      <c r="E344" s="13">
        <v>912.0</v>
      </c>
      <c r="F344" s="16"/>
      <c r="G344" s="11" t="s">
        <v>148</v>
      </c>
      <c r="H344" s="16"/>
      <c r="I344" s="16"/>
      <c r="J344" s="16"/>
      <c r="K344" s="16"/>
    </row>
    <row r="345">
      <c r="A345" s="9" t="s">
        <v>1035</v>
      </c>
      <c r="B345" s="9" t="s">
        <v>1036</v>
      </c>
      <c r="C345" s="10" t="s">
        <v>1037</v>
      </c>
      <c r="D345" s="12">
        <v>7.934076125018551E-4</v>
      </c>
      <c r="E345" s="13">
        <v>103.0</v>
      </c>
      <c r="F345" s="16"/>
      <c r="G345" s="11" t="s">
        <v>148</v>
      </c>
      <c r="H345" s="16"/>
      <c r="I345" s="16"/>
      <c r="J345" s="16"/>
      <c r="K345" s="16"/>
    </row>
    <row r="346">
      <c r="A346" s="9" t="s">
        <v>1038</v>
      </c>
      <c r="B346" s="9" t="s">
        <v>1039</v>
      </c>
      <c r="C346" s="10" t="s">
        <v>1040</v>
      </c>
      <c r="D346" s="12">
        <v>7.934076125018551E-4</v>
      </c>
      <c r="E346" s="13">
        <v>602.0</v>
      </c>
      <c r="F346" s="16"/>
      <c r="G346" s="11" t="s">
        <v>148</v>
      </c>
      <c r="H346" s="16"/>
      <c r="I346" s="16"/>
      <c r="J346" s="16"/>
      <c r="K346" s="16"/>
    </row>
    <row r="347">
      <c r="A347" s="9" t="s">
        <v>1041</v>
      </c>
      <c r="B347" s="9" t="s">
        <v>1042</v>
      </c>
      <c r="C347" s="10" t="s">
        <v>1043</v>
      </c>
      <c r="D347" s="12">
        <v>7.934076125018551E-4</v>
      </c>
      <c r="E347" s="13">
        <v>45.0</v>
      </c>
      <c r="F347" s="16"/>
      <c r="G347" s="11" t="s">
        <v>148</v>
      </c>
      <c r="H347" s="16"/>
      <c r="I347" s="16"/>
      <c r="J347" s="16"/>
      <c r="K347" s="16"/>
    </row>
    <row r="348">
      <c r="A348" s="9" t="s">
        <v>1044</v>
      </c>
      <c r="B348" s="9" t="s">
        <v>1045</v>
      </c>
      <c r="C348" s="10" t="s">
        <v>1046</v>
      </c>
      <c r="D348" s="12">
        <v>7.934076125018551E-4</v>
      </c>
      <c r="E348" s="13">
        <v>762.0</v>
      </c>
      <c r="F348" s="16"/>
      <c r="G348" s="11" t="s">
        <v>148</v>
      </c>
      <c r="H348" s="16"/>
      <c r="I348" s="16"/>
      <c r="J348" s="16"/>
      <c r="K348" s="16"/>
    </row>
    <row r="349">
      <c r="A349" s="9" t="s">
        <v>1047</v>
      </c>
      <c r="B349" s="9" t="s">
        <v>1047</v>
      </c>
      <c r="C349" s="10" t="s">
        <v>1048</v>
      </c>
      <c r="D349" s="12">
        <v>7.934076125018551E-4</v>
      </c>
      <c r="E349" s="13">
        <v>169.0</v>
      </c>
      <c r="F349" s="16"/>
      <c r="G349" s="11" t="s">
        <v>148</v>
      </c>
      <c r="H349" s="16"/>
      <c r="I349" s="16"/>
      <c r="J349" s="16"/>
      <c r="K349" s="16"/>
    </row>
    <row r="350">
      <c r="A350" s="9" t="s">
        <v>1049</v>
      </c>
      <c r="B350" s="9" t="s">
        <v>1050</v>
      </c>
      <c r="C350" s="10" t="s">
        <v>1051</v>
      </c>
      <c r="D350" s="12">
        <v>7.934076125018551E-4</v>
      </c>
      <c r="E350" s="13">
        <v>213.0</v>
      </c>
      <c r="F350" s="16"/>
      <c r="G350" s="11" t="s">
        <v>148</v>
      </c>
      <c r="H350" s="16"/>
      <c r="I350" s="16"/>
      <c r="J350" s="16"/>
      <c r="K350" s="16"/>
    </row>
    <row r="351">
      <c r="A351" s="9" t="s">
        <v>1052</v>
      </c>
      <c r="B351" s="9" t="s">
        <v>1053</v>
      </c>
      <c r="C351" s="10" t="s">
        <v>1054</v>
      </c>
      <c r="D351" s="12">
        <v>7.934076125018551E-4</v>
      </c>
      <c r="E351" s="13">
        <v>353.0</v>
      </c>
      <c r="F351" s="16"/>
      <c r="G351" s="11" t="s">
        <v>148</v>
      </c>
      <c r="H351" s="16"/>
      <c r="I351" s="16"/>
      <c r="J351" s="16"/>
      <c r="K351" s="16"/>
    </row>
    <row r="352">
      <c r="A352" s="9" t="s">
        <v>1055</v>
      </c>
      <c r="B352" s="9" t="s">
        <v>1056</v>
      </c>
      <c r="C352" s="10" t="s">
        <v>1057</v>
      </c>
      <c r="D352" s="12">
        <v>7.934076125018551E-4</v>
      </c>
      <c r="E352" s="13">
        <v>249.0</v>
      </c>
      <c r="F352" s="16"/>
      <c r="G352" s="11" t="s">
        <v>148</v>
      </c>
      <c r="H352" s="16"/>
      <c r="I352" s="16"/>
      <c r="J352" s="16"/>
      <c r="K352" s="16"/>
    </row>
    <row r="353">
      <c r="A353" s="9" t="s">
        <v>1058</v>
      </c>
      <c r="B353" s="9" t="s">
        <v>1059</v>
      </c>
      <c r="C353" s="10"/>
      <c r="D353" s="12">
        <v>7.934076125018551E-4</v>
      </c>
      <c r="E353" s="13">
        <v>1106.0</v>
      </c>
      <c r="F353" s="11" t="s">
        <v>14</v>
      </c>
      <c r="G353" s="11" t="s">
        <v>14</v>
      </c>
      <c r="H353" s="23"/>
      <c r="I353" s="11" t="s">
        <v>148</v>
      </c>
      <c r="J353" s="11"/>
      <c r="K353" s="11"/>
    </row>
    <row r="354">
      <c r="A354" s="9" t="s">
        <v>1060</v>
      </c>
      <c r="B354" s="9" t="s">
        <v>1061</v>
      </c>
      <c r="C354" s="10" t="s">
        <v>1062</v>
      </c>
      <c r="D354" s="12">
        <v>7.934076125018551E-4</v>
      </c>
      <c r="E354" s="13">
        <v>20.0</v>
      </c>
      <c r="F354" s="16"/>
      <c r="G354" s="11" t="s">
        <v>148</v>
      </c>
      <c r="H354" s="16"/>
      <c r="I354" s="16"/>
      <c r="J354" s="16"/>
      <c r="K354" s="16"/>
    </row>
    <row r="355">
      <c r="A355" s="9" t="s">
        <v>1063</v>
      </c>
      <c r="B355" s="9" t="s">
        <v>1064</v>
      </c>
      <c r="C355" s="10" t="s">
        <v>1065</v>
      </c>
      <c r="D355" s="12">
        <v>7.934076125018551E-4</v>
      </c>
      <c r="E355" s="13">
        <v>474.0</v>
      </c>
      <c r="F355" s="16"/>
      <c r="G355" s="11" t="s">
        <v>148</v>
      </c>
      <c r="H355" s="16"/>
      <c r="I355" s="16"/>
      <c r="J355" s="16"/>
      <c r="K355" s="16"/>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5" t="str">
        <f>IFERROR(__xludf.DUMMYFUNCTION("QUERY(BDTrat!A:E,""select B,A,C,D,E"")"),"Usuário")</f>
        <v>Usuário</v>
      </c>
      <c r="B1" s="1" t="str">
        <f>IFERROR(__xludf.DUMMYFUNCTION("""COMPUTED_VALUE"""),"User_Name")</f>
        <v>User_Name</v>
      </c>
      <c r="C1" s="1" t="str">
        <f>IFERROR(__xludf.DUMMYFUNCTION("""COMPUTED_VALUE"""),"Descrição")</f>
        <v>Descrição</v>
      </c>
      <c r="D1" s="1" t="str">
        <f>IFERROR(__xludf.DUMMYFUNCTION("""COMPUTED_VALUE"""),"PageRank")</f>
        <v>PageRank</v>
      </c>
      <c r="E1" s="1" t="str">
        <f>IFERROR(__xludf.DUMMYFUNCTION("""COMPUTED_VALUE"""),"N. Seguidores")</f>
        <v>N. Seguidores</v>
      </c>
    </row>
    <row r="2">
      <c r="A2" s="9" t="str">
        <f>IFERROR(__xludf.DUMMYFUNCTION("""COMPUTED_VALUE"""),"POUPEX")</f>
        <v>POUPEX</v>
      </c>
      <c r="B2" s="1" t="str">
        <f>IFERROR(__xludf.DUMMYFUNCTION("""COMPUTED_VALUE"""),"poupex_oficial")</f>
        <v>poupex_oficial</v>
      </c>
      <c r="C2" s="1" t="str">
        <f>IFERROR(__xludf.DUMMYFUNCTION("""COMPUTED_VALUE"""),"O melhor caminho para a casa própria")</f>
        <v>O melhor caminho para a casa própria</v>
      </c>
      <c r="D2" s="1">
        <f>IFERROR(__xludf.DUMMYFUNCTION("""COMPUTED_VALUE"""),0.05564432055679678)</f>
        <v>0.05564432056</v>
      </c>
      <c r="E2" s="3">
        <f>IFERROR(__xludf.DUMMYFUNCTION("""COMPUTED_VALUE"""),352.0)</f>
        <v>352</v>
      </c>
    </row>
    <row r="3">
      <c r="A3" s="9" t="str">
        <f>IFERROR(__xludf.DUMMYFUNCTION("""COMPUTED_VALUE"""),"We❤Bitcoin")</f>
        <v>We❤Bitcoin</v>
      </c>
      <c r="B3" s="1" t="str">
        <f>IFERROR(__xludf.DUMMYFUNCTION("""COMPUTED_VALUE"""),"webtcoficial")</f>
        <v>webtcoficial</v>
      </c>
      <c r="C3" s="1" t="str">
        <f>IFERROR(__xludf.DUMMYFUNCTION("""COMPUTED_VALUE"""),"O seu portal de notícias sobre #Bitcoin e #blockchain, sua melhor fonte de informação com as mais recentes #notícias mundiais sobre #criptomoedas.")</f>
        <v>O seu portal de notícias sobre #Bitcoin e #blockchain, sua melhor fonte de informação com as mais recentes #notícias mundiais sobre #criptomoedas.</v>
      </c>
      <c r="D3" s="1">
        <f>IFERROR(__xludf.DUMMYFUNCTION("""COMPUTED_VALUE"""),0.015180532319202158)</f>
        <v>0.01518053232</v>
      </c>
      <c r="E3" s="3">
        <f>IFERROR(__xludf.DUMMYFUNCTION("""COMPUTED_VALUE"""),6787.0)</f>
        <v>6787</v>
      </c>
    </row>
    <row r="4">
      <c r="A4" s="17" t="str">
        <f>IFERROR(__xludf.DUMMYFUNCTION("""COMPUTED_VALUE"""),"YouTube")</f>
        <v>YouTube</v>
      </c>
      <c r="B4" s="1" t="str">
        <f>IFERROR(__xludf.DUMMYFUNCTION("""COMPUTED_VALUE"""),"youtube")</f>
        <v>youtube</v>
      </c>
      <c r="C4" s="1" t="str">
        <f>IFERROR(__xludf.DUMMYFUNCTION("""COMPUTED_VALUE"""),"like and subscribe.")</f>
        <v>like and subscribe.</v>
      </c>
      <c r="D4" s="1">
        <f>IFERROR(__xludf.DUMMYFUNCTION("""COMPUTED_VALUE"""),0.01225814761315366)</f>
        <v>0.01225814761</v>
      </c>
      <c r="E4" s="3">
        <f>IFERROR(__xludf.DUMMYFUNCTION("""COMPUTED_VALUE"""),7.9254714E7)</f>
        <v>79254714</v>
      </c>
    </row>
    <row r="5">
      <c r="A5" s="9" t="str">
        <f>IFERROR(__xludf.DUMMYFUNCTION("""COMPUTED_VALUE"""),"Varginha Online")</f>
        <v>Varginha Online</v>
      </c>
      <c r="B5" s="1" t="str">
        <f>IFERROR(__xludf.DUMMYFUNCTION("""COMPUTED_VALUE"""),"varginha_online")</f>
        <v>varginha_online</v>
      </c>
      <c r="C5" s="1" t="str">
        <f>IFERROR(__xludf.DUMMYFUNCTION("""COMPUTED_VALUE"""),"Twitter oficial do site de notícias Varginha Online. informações diárias da cidade e da região.")</f>
        <v>Twitter oficial do site de notícias Varginha Online. informações diárias da cidade e da região.</v>
      </c>
      <c r="D5" s="1">
        <f>IFERROR(__xludf.DUMMYFUNCTION("""COMPUTED_VALUE"""),0.009785360554189547)</f>
        <v>0.009785360554</v>
      </c>
      <c r="E5" s="3">
        <f>IFERROR(__xludf.DUMMYFUNCTION("""COMPUTED_VALUE"""),3693.0)</f>
        <v>3693</v>
      </c>
    </row>
    <row r="6">
      <c r="A6" s="9" t="str">
        <f>IFERROR(__xludf.DUMMYFUNCTION("""COMPUTED_VALUE"""),"O Caminho da Alfa")</f>
        <v>O Caminho da Alfa</v>
      </c>
      <c r="B6" s="1" t="str">
        <f>IFERROR(__xludf.DUMMYFUNCTION("""COMPUTED_VALUE"""),"alfainvestidor1")</f>
        <v>alfainvestidor1</v>
      </c>
      <c r="C6" s="1" t="str">
        <f>IFERROR(__xludf.DUMMYFUNCTION("""COMPUTED_VALUE"""),"Investindo agora para alcançar os sonho amanhã. Existe uma Chave Mestra da Riqueza que abre a porta da prosperidade. Vamos te ensinar a usar!")</f>
        <v>Investindo agora para alcançar os sonho amanhã. Existe uma Chave Mestra da Riqueza que abre a porta da prosperidade. Vamos te ensinar a usar!</v>
      </c>
      <c r="D6" s="1">
        <f>IFERROR(__xludf.DUMMYFUNCTION("""COMPUTED_VALUE"""),0.009785360554189547)</f>
        <v>0.009785360554</v>
      </c>
      <c r="E6" s="3">
        <f>IFERROR(__xludf.DUMMYFUNCTION("""COMPUTED_VALUE"""),228.0)</f>
        <v>228</v>
      </c>
    </row>
    <row r="7">
      <c r="A7" s="9" t="str">
        <f>IFERROR(__xludf.DUMMYFUNCTION("""COMPUTED_VALUE"""),"B3")</f>
        <v>B3</v>
      </c>
      <c r="B7" s="1" t="str">
        <f>IFERROR(__xludf.DUMMYFUNCTION("""COMPUTED_VALUE"""),"b3_oficial")</f>
        <v>b3_oficial</v>
      </c>
      <c r="C7" s="1" t="str">
        <f>IFERROR(__xludf.DUMMYFUNCTION("""COMPUTED_VALUE"""),"Nosso compromisso é conduzir o desenvolvimento econômico sustentável para a sociedade prosperar.")</f>
        <v>Nosso compromisso é conduzir o desenvolvimento econômico sustentável para a sociedade prosperar.</v>
      </c>
      <c r="D7" s="1">
        <f>IFERROR(__xludf.DUMMYFUNCTION("""COMPUTED_VALUE"""),0.009764449035720508)</f>
        <v>0.009764449036</v>
      </c>
      <c r="E7" s="3">
        <f>IFERROR(__xludf.DUMMYFUNCTION("""COMPUTED_VALUE"""),280799.0)</f>
        <v>280799</v>
      </c>
    </row>
    <row r="8">
      <c r="A8" s="9" t="str">
        <f>IFERROR(__xludf.DUMMYFUNCTION("""COMPUTED_VALUE"""),"Matemática Financeira")</f>
        <v>Matemática Financeira</v>
      </c>
      <c r="B8" s="1" t="str">
        <f>IFERROR(__xludf.DUMMYFUNCTION("""COMPUTED_VALUE"""),"mat_financeira")</f>
        <v>mat_financeira</v>
      </c>
      <c r="C8" s="1" t="str">
        <f>IFERROR(__xludf.DUMMYFUNCTION("""COMPUTED_VALUE"""),"Tweets didáticos sobre economia, matemática financeira, finanças pessoais e outros temas para compreender melhor o nosso mundo econômico. Prof. Ricardo Viana.")</f>
        <v>Tweets didáticos sobre economia, matemática financeira, finanças pessoais e outros temas para compreender melhor o nosso mundo econômico. Prof. Ricardo Viana.</v>
      </c>
      <c r="D8" s="1">
        <f>IFERROR(__xludf.DUMMYFUNCTION("""COMPUTED_VALUE"""),0.008886165260020779)</f>
        <v>0.00888616526</v>
      </c>
      <c r="E8" s="3">
        <f>IFERROR(__xludf.DUMMYFUNCTION("""COMPUTED_VALUE"""),106538.0)</f>
        <v>106538</v>
      </c>
    </row>
    <row r="9">
      <c r="A9" s="9" t="str">
        <f>IFERROR(__xludf.DUMMYFUNCTION("""COMPUTED_VALUE"""),"Marcia Coelho")</f>
        <v>Marcia Coelho</v>
      </c>
      <c r="B9" s="1" t="str">
        <f>IFERROR(__xludf.DUMMYFUNCTION("""COMPUTED_VALUE"""),"marciac42792937")</f>
        <v>marciac42792937</v>
      </c>
      <c r="C9" s="1" t="str">
        <f>IFERROR(__xludf.DUMMYFUNCTION("""COMPUTED_VALUE"""),"Especialista em Educação Financeira 👩‍🏫💰|Consultora| Formadora 💗 📚 🏖 ✈️ 🍸🦞 
Autora do 📚: Mais que dinheiro! O guia Ideal de Finanças para Casais")</f>
        <v>Especialista em Educação Financeira 👩‍🏫💰|Consultora| Formadora 💗 📚 🏖 ✈️ 🍸🦞 
Autora do 📚: Mais que dinheiro! O guia Ideal de Finanças para Casais</v>
      </c>
      <c r="D9" s="1">
        <f>IFERROR(__xludf.DUMMYFUNCTION("""COMPUTED_VALUE"""),0.007719641635127695)</f>
        <v>0.007719641635</v>
      </c>
      <c r="E9" s="3">
        <f>IFERROR(__xludf.DUMMYFUNCTION("""COMPUTED_VALUE"""),107.0)</f>
        <v>107</v>
      </c>
    </row>
    <row r="10">
      <c r="A10" s="9" t="str">
        <f>IFERROR(__xludf.DUMMYFUNCTION("""COMPUTED_VALUE"""),"Kamba Rico")</f>
        <v>Kamba Rico</v>
      </c>
      <c r="B10" s="1" t="str">
        <f>IFERROR(__xludf.DUMMYFUNCTION("""COMPUTED_VALUE"""),"kamba_rico")</f>
        <v>kamba_rico</v>
      </c>
      <c r="C10" s="1" t="str">
        <f>IFERROR(__xludf.DUMMYFUNCTION("""COMPUTED_VALUE"""),"O único portal angolano dedicado a Educação Financeira.
A nossa missão é levar a Educação Financeira a todos os lares angolanos! 😊💰💪 clica e sabe mais")</f>
        <v>O único portal angolano dedicado a Educação Financeira.
A nossa missão é levar a Educação Financeira a todos os lares angolanos! 😊💰💪 clica e sabe mais</v>
      </c>
      <c r="D10" s="1">
        <f>IFERROR(__xludf.DUMMYFUNCTION("""COMPUTED_VALUE"""),0.007355103002352074)</f>
        <v>0.007355103002</v>
      </c>
      <c r="E10" s="3">
        <f>IFERROR(__xludf.DUMMYFUNCTION("""COMPUTED_VALUE"""),472.0)</f>
        <v>472</v>
      </c>
    </row>
    <row r="11">
      <c r="A11" s="9" t="str">
        <f>IFERROR(__xludf.DUMMYFUNCTION("""COMPUTED_VALUE"""),"Nath Finanças 💰")</f>
        <v>Nath Finanças 💰</v>
      </c>
      <c r="B11" s="1" t="str">
        <f>IFERROR(__xludf.DUMMYFUNCTION("""COMPUTED_VALUE"""),"nathfinancas")</f>
        <v>nathfinancas</v>
      </c>
      <c r="C11" s="1" t="str">
        <f>IFERROR(__xludf.DUMMYFUNCTION("""COMPUTED_VALUE"""),"Administradora| Finanças| Investimentos| Empresária| Vascaína 💢🌈| Amo Rap e memes💙| Contato :comercial@nathfinancas.com")</f>
        <v>Administradora| Finanças| Investimentos| Empresária| Vascaína 💢🌈| Amo Rap e memes💙| Contato :comercial@nathfinancas.com</v>
      </c>
      <c r="D11" s="1">
        <f>IFERROR(__xludf.DUMMYFUNCTION("""COMPUTED_VALUE"""),0.006493832516850711)</f>
        <v>0.006493832517</v>
      </c>
      <c r="E11" s="3">
        <f>IFERROR(__xludf.DUMMYFUNCTION("""COMPUTED_VALUE"""),598436.0)</f>
        <v>598436</v>
      </c>
    </row>
    <row r="12">
      <c r="A12" s="9" t="str">
        <f>IFERROR(__xludf.DUMMYFUNCTION("""COMPUTED_VALUE"""),"CVM")</f>
        <v>CVM</v>
      </c>
      <c r="B12" s="1" t="str">
        <f>IFERROR(__xludf.DUMMYFUNCTION("""COMPUTED_VALUE"""),"cvmgovbr")</f>
        <v>cvmgovbr</v>
      </c>
      <c r="C12" s="1" t="str">
        <f>IFERROR(__xludf.DUMMYFUNCTION("""COMPUTED_VALUE"""),"Conta oficial da Comissão de Valores Mobiliários, reguladora do mercado de capitais no Brasil. Para atendimento, acesse https://t.co/BCxcyxjPFR")</f>
        <v>Conta oficial da Comissão de Valores Mobiliários, reguladora do mercado de capitais no Brasil. Para atendimento, acesse https://t.co/BCxcyxjPFR</v>
      </c>
      <c r="D12" s="1">
        <f>IFERROR(__xludf.DUMMYFUNCTION("""COMPUTED_VALUE"""),0.006418606080673922)</f>
        <v>0.006418606081</v>
      </c>
      <c r="E12" s="3">
        <f>IFERROR(__xludf.DUMMYFUNCTION("""COMPUTED_VALUE"""),16260.0)</f>
        <v>16260</v>
      </c>
    </row>
    <row r="13">
      <c r="A13" s="9" t="str">
        <f>IFERROR(__xludf.DUMMYFUNCTION("""COMPUTED_VALUE"""),"Discípulos de Midas")</f>
        <v>Discípulos de Midas</v>
      </c>
      <c r="B13" s="1" t="str">
        <f>IFERROR(__xludf.DUMMYFUNCTION("""COMPUTED_VALUE"""),"discipulosmidas")</f>
        <v>discipulosmidas</v>
      </c>
      <c r="C13" s="1" t="str">
        <f>IFERROR(__xludf.DUMMYFUNCTION("""COMPUTED_VALUE"""),"⭐️Supere Limites, alcance Liberdade Financeira e Intelectual no Futebol!
🧠 Mudamos a mente de milhares de Investidores
👇Faça parte da Revolução👇")</f>
        <v>⭐️Supere Limites, alcance Liberdade Financeira e Intelectual no Futebol!
🧠 Mudamos a mente de milhares de Investidores
👇Faça parte da Revolução👇</v>
      </c>
      <c r="D13" s="1">
        <f>IFERROR(__xludf.DUMMYFUNCTION("""COMPUTED_VALUE"""),0.0052893840833457)</f>
        <v>0.005289384083</v>
      </c>
      <c r="E13" s="3">
        <f>IFERROR(__xludf.DUMMYFUNCTION("""COMPUTED_VALUE"""),9.0)</f>
        <v>9</v>
      </c>
    </row>
    <row r="14">
      <c r="A14" s="24" t="str">
        <f>IFERROR(__xludf.DUMMYFUNCTION("""COMPUTED_VALUE"""),"Defensoria Pública do Rio de Janeiro")</f>
        <v>Defensoria Pública do Rio de Janeiro</v>
      </c>
      <c r="B14" s="1" t="str">
        <f>IFERROR(__xludf.DUMMYFUNCTION("""COMPUTED_VALUE"""),"defensoria_rj")</f>
        <v>defensoria_rj</v>
      </c>
      <c r="C14" s="1" t="str">
        <f>IFERROR(__xludf.DUMMYFUNCTION("""COMPUTED_VALUE"""),"Garanta seus direitos conosco.
Informações sobre nossa atuação 👇")</f>
        <v>Garanta seus direitos conosco.
Informações sobre nossa atuação 👇</v>
      </c>
      <c r="D14" s="1">
        <f>IFERROR(__xludf.DUMMYFUNCTION("""COMPUTED_VALUE"""),0.0052893840833457)</f>
        <v>0.005289384083</v>
      </c>
      <c r="E14" s="3">
        <f>IFERROR(__xludf.DUMMYFUNCTION("""COMPUTED_VALUE"""),4370.0)</f>
        <v>4370</v>
      </c>
    </row>
    <row r="15">
      <c r="A15" s="9" t="str">
        <f>IFERROR(__xludf.DUMMYFUNCTION("""COMPUTED_VALUE"""),"Eu &amp; Dinheiro")</f>
        <v>Eu &amp; Dinheiro</v>
      </c>
      <c r="B15" s="1" t="str">
        <f>IFERROR(__xludf.DUMMYFUNCTION("""COMPUTED_VALUE"""),"euedinheiro")</f>
        <v>euedinheiro</v>
      </c>
      <c r="C15" s="1" t="str">
        <f>IFERROR(__xludf.DUMMYFUNCTION("""COMPUTED_VALUE"""),"Aqui vamos te ensinar o que você precisa saber sobre dinheiro e finanças 💰💲de maneira simples e descomplicada 🤑
https://t.co/4ZaTqAv0SJ")</f>
        <v>Aqui vamos te ensinar o que você precisa saber sobre dinheiro e finanças 💰💲de maneira simples e descomplicada 🤑
https://t.co/4ZaTqAv0SJ</v>
      </c>
      <c r="D15" s="1">
        <f>IFERROR(__xludf.DUMMYFUNCTION("""COMPUTED_VALUE"""),0.0052893840833457)</f>
        <v>0.005289384083</v>
      </c>
      <c r="E15" s="3">
        <f>IFERROR(__xludf.DUMMYFUNCTION("""COMPUTED_VALUE"""),1.0)</f>
        <v>1</v>
      </c>
    </row>
    <row r="16">
      <c r="A16" s="9" t="str">
        <f>IFERROR(__xludf.DUMMYFUNCTION("""COMPUTED_VALUE"""),"Sicoob CrediEmbrapa")</f>
        <v>Sicoob CrediEmbrapa</v>
      </c>
      <c r="B16" s="1" t="str">
        <f>IFERROR(__xludf.DUMMYFUNCTION("""COMPUTED_VALUE"""),"crediembrapa")</f>
        <v>crediembrapa</v>
      </c>
      <c r="C16" s="1" t="str">
        <f>IFERROR(__xludf.DUMMYFUNCTION("""COMPUTED_VALUE"""),"Somos uma cooperativa de crédito de livre admissão, integrante do Sicoob, o maior sistema de cooperativas de crédito do país.")</f>
        <v>Somos uma cooperativa de crédito de livre admissão, integrante do Sicoob, o maior sistema de cooperativas de crédito do país.</v>
      </c>
      <c r="D16" s="1">
        <f>IFERROR(__xludf.DUMMYFUNCTION("""COMPUTED_VALUE"""),0.0052893840833457)</f>
        <v>0.005289384083</v>
      </c>
      <c r="E16" s="3">
        <f>IFERROR(__xludf.DUMMYFUNCTION("""COMPUTED_VALUE"""),773.0)</f>
        <v>773</v>
      </c>
    </row>
    <row r="17">
      <c r="A17" s="9" t="str">
        <f>IFERROR(__xludf.DUMMYFUNCTION("""COMPUTED_VALUE"""),"Finanças Stream")</f>
        <v>Finanças Stream</v>
      </c>
      <c r="B17" s="1" t="str">
        <f>IFERROR(__xludf.DUMMYFUNCTION("""COMPUTED_VALUE"""),"financialstream")</f>
        <v>financialstream</v>
      </c>
      <c r="C17" s="1" t="str">
        <f>IFERROR(__xludf.DUMMYFUNCTION("""COMPUTED_VALUE"""),"Finanças, economia e mais.")</f>
        <v>Finanças, economia e mais.</v>
      </c>
      <c r="D17" s="1">
        <f>IFERROR(__xludf.DUMMYFUNCTION("""COMPUTED_VALUE"""),0.0052893840833457)</f>
        <v>0.005289384083</v>
      </c>
      <c r="E17" s="3">
        <f>IFERROR(__xludf.DUMMYFUNCTION("""COMPUTED_VALUE"""),17.0)</f>
        <v>17</v>
      </c>
    </row>
    <row r="18">
      <c r="A18" s="9" t="str">
        <f>IFERROR(__xludf.DUMMYFUNCTION("""COMPUTED_VALUE"""),"Allan Fernandes")</f>
        <v>Allan Fernandes</v>
      </c>
      <c r="B18" s="1" t="str">
        <f>IFERROR(__xludf.DUMMYFUNCTION("""COMPUTED_VALUE"""),"focanoimposto")</f>
        <v>focanoimposto</v>
      </c>
      <c r="C18" s="1" t="str">
        <f>IFERROR(__xludf.DUMMYFUNCTION("""COMPUTED_VALUE"""),"Imposto é roubo? Vamos explicar alguns temas e ajudar os Micro e Pequenos Empresários no Brasil!")</f>
        <v>Imposto é roubo? Vamos explicar alguns temas e ajudar os Micro e Pequenos Empresários no Brasil!</v>
      </c>
      <c r="D18" s="1">
        <f>IFERROR(__xludf.DUMMYFUNCTION("""COMPUTED_VALUE"""),0.0052893840833457)</f>
        <v>0.005289384083</v>
      </c>
      <c r="E18" s="3">
        <f>IFERROR(__xludf.DUMMYFUNCTION("""COMPUTED_VALUE"""),1.0)</f>
        <v>1</v>
      </c>
    </row>
    <row r="19">
      <c r="A19" s="9" t="str">
        <f>IFERROR(__xludf.DUMMYFUNCTION("""COMPUTED_VALUE"""),"Expresso &amp; Liberdade")</f>
        <v>Expresso &amp; Liberdade</v>
      </c>
      <c r="B19" s="1" t="str">
        <f>IFERROR(__xludf.DUMMYFUNCTION("""COMPUTED_VALUE"""),"explibertario")</f>
        <v>explibertario</v>
      </c>
      <c r="C19" s="1" t="str">
        <f>IFERROR(__xludf.DUMMYFUNCTION("""COMPUTED_VALUE"""),"Aqui você encontra um pouco de tudo: desde reflexões sobre a vida até traduções de perfis interessantes. Somos o Expresso &amp; Liberdade")</f>
        <v>Aqui você encontra um pouco de tudo: desde reflexões sobre a vida até traduções de perfis interessantes. Somos o Expresso &amp; Liberdade</v>
      </c>
      <c r="D19" s="1">
        <f>IFERROR(__xludf.DUMMYFUNCTION("""COMPUTED_VALUE"""),0.0052893840833457)</f>
        <v>0.005289384083</v>
      </c>
      <c r="E19" s="3">
        <f>IFERROR(__xludf.DUMMYFUNCTION("""COMPUTED_VALUE"""),5.0)</f>
        <v>5</v>
      </c>
    </row>
    <row r="20">
      <c r="A20" s="9" t="str">
        <f>IFERROR(__xludf.DUMMYFUNCTION("""COMPUTED_VALUE"""),"iLean - Gestão de Resultados")</f>
        <v>iLean - Gestão de Resultados</v>
      </c>
      <c r="B20" s="1" t="str">
        <f>IFERROR(__xludf.DUMMYFUNCTION("""COMPUTED_VALUE"""),"inovacao_lean")</f>
        <v>inovacao_lean</v>
      </c>
      <c r="C20" s="1" t="str">
        <f>IFERROR(__xludf.DUMMYFUNCTION("""COMPUTED_VALUE"""),"🧗‍♂️ Alta Perfomance em Gestão
🚀 Conquiste 5 anos de Lucro e Resultados em 1
🏆 Melhor Consultoria Sebrae | +1000 empresas
Simplificando o 🌎 dos negócios")</f>
        <v>🧗‍♂️ Alta Perfomance em Gestão
🚀 Conquiste 5 anos de Lucro e Resultados em 1
🏆 Melhor Consultoria Sebrae | +1000 empresas
Simplificando o 🌎 dos negócios</v>
      </c>
      <c r="D20" s="1">
        <f>IFERROR(__xludf.DUMMYFUNCTION("""COMPUTED_VALUE"""),0.0052893840833457)</f>
        <v>0.005289384083</v>
      </c>
      <c r="E20" s="3">
        <f>IFERROR(__xludf.DUMMYFUNCTION("""COMPUTED_VALUE"""),7.0)</f>
        <v>7</v>
      </c>
    </row>
    <row r="21">
      <c r="A21" s="9" t="str">
        <f>IFERROR(__xludf.DUMMYFUNCTION("""COMPUTED_VALUE"""),"Barba investe")</f>
        <v>Barba investe</v>
      </c>
      <c r="B21" s="1" t="str">
        <f>IFERROR(__xludf.DUMMYFUNCTION("""COMPUTED_VALUE"""),"barbainveste")</f>
        <v>barbainveste</v>
      </c>
      <c r="C21" s="1" t="str">
        <f>IFERROR(__xludf.DUMMYFUNCTION("""COMPUTED_VALUE"""),"📊 Invista seu dinheiro!                                         🏋️‍♀️ Invista em sua saúde!                                    🧠 Invista em conhecimento!")</f>
        <v>📊 Invista seu dinheiro!                                         🏋️‍♀️ Invista em sua saúde!                                    🧠 Invista em conhecimento!</v>
      </c>
      <c r="D21" s="1">
        <f>IFERROR(__xludf.DUMMYFUNCTION("""COMPUTED_VALUE"""),0.0052893840833457)</f>
        <v>0.005289384083</v>
      </c>
      <c r="E21" s="3">
        <f>IFERROR(__xludf.DUMMYFUNCTION("""COMPUTED_VALUE"""),20.0)</f>
        <v>20</v>
      </c>
    </row>
    <row r="22">
      <c r="A22" s="9" t="str">
        <f>IFERROR(__xludf.DUMMYFUNCTION("""COMPUTED_VALUE"""),"LoopiPay")</f>
        <v>LoopiPay</v>
      </c>
      <c r="B22" s="1" t="str">
        <f>IFERROR(__xludf.DUMMYFUNCTION("""COMPUTED_VALUE"""),"loopipay")</f>
        <v>loopipay</v>
      </c>
      <c r="C22" s="1" t="str">
        <f>IFERROR(__xludf.DUMMYFUNCTION("""COMPUTED_VALUE"""),"A LoopiPay é uma plataforma para comprar Bitcoin e outras criptomoedas via PIX direto para sua carteira. 📲 Baixe nosso app: https://t.co/Gq4sFtKl8W")</f>
        <v>A LoopiPay é uma plataforma para comprar Bitcoin e outras criptomoedas via PIX direto para sua carteira. 📲 Baixe nosso app: https://t.co/Gq4sFtKl8W</v>
      </c>
      <c r="D22" s="1">
        <f>IFERROR(__xludf.DUMMYFUNCTION("""COMPUTED_VALUE"""),0.0052893840833457)</f>
        <v>0.005289384083</v>
      </c>
      <c r="E22" s="3">
        <f>IFERROR(__xludf.DUMMYFUNCTION("""COMPUTED_VALUE"""),1802.0)</f>
        <v>1802</v>
      </c>
    </row>
    <row r="23">
      <c r="A23" s="9" t="str">
        <f>IFERROR(__xludf.DUMMYFUNCTION("""COMPUTED_VALUE"""),"PARAM INVESTOPEDIA PRIVATE LIMITED")</f>
        <v>PARAM INVESTOPEDIA PRIVATE LIMITED</v>
      </c>
      <c r="B23" s="1" t="str">
        <f>IFERROR(__xludf.DUMMYFUNCTION("""COMPUTED_VALUE"""),"paraminvest")</f>
        <v>paraminvest</v>
      </c>
      <c r="C23" s="1" t="str">
        <f>IFERROR(__xludf.DUMMYFUNCTION("""COMPUTED_VALUE"""),"- AMFI REGISTERED👩‍🎓
- INVESTMENT CONSULTANT 💵
-info@paraminvest.in ✉️
-+91 8369521112 📲")</f>
        <v>- AMFI REGISTERED👩‍🎓
- INVESTMENT CONSULTANT 💵
-info@paraminvest.in ✉️
-+91 8369521112 📲</v>
      </c>
      <c r="D23" s="1">
        <f>IFERROR(__xludf.DUMMYFUNCTION("""COMPUTED_VALUE"""),0.0052893840833457)</f>
        <v>0.005289384083</v>
      </c>
      <c r="E23" s="3">
        <f>IFERROR(__xludf.DUMMYFUNCTION("""COMPUTED_VALUE"""),236.0)</f>
        <v>236</v>
      </c>
    </row>
    <row r="24">
      <c r="A24" s="9" t="str">
        <f>IFERROR(__xludf.DUMMYFUNCTION("""COMPUTED_VALUE"""),"Diogo Rugeroni")</f>
        <v>Diogo Rugeroni</v>
      </c>
      <c r="B24" s="1" t="str">
        <f>IFERROR(__xludf.DUMMYFUNCTION("""COMPUTED_VALUE"""),"diogorugeroni")</f>
        <v>diogorugeroni</v>
      </c>
      <c r="C24" s="1" t="str">
        <f>IFERROR(__xludf.DUMMYFUNCTION("""COMPUTED_VALUE"""),"Tudo sobre literacia financeira, desenvolvimento pessoal e marketing digital.")</f>
        <v>Tudo sobre literacia financeira, desenvolvimento pessoal e marketing digital.</v>
      </c>
      <c r="D24" s="1">
        <f>IFERROR(__xludf.DUMMYFUNCTION("""COMPUTED_VALUE"""),0.0052893840833457)</f>
        <v>0.005289384083</v>
      </c>
      <c r="E24" s="3">
        <f>IFERROR(__xludf.DUMMYFUNCTION("""COMPUTED_VALUE"""),29.0)</f>
        <v>29</v>
      </c>
    </row>
    <row r="25">
      <c r="A25" s="9" t="str">
        <f>IFERROR(__xludf.DUMMYFUNCTION("""COMPUTED_VALUE"""),"Bruno Velloso ⚡")</f>
        <v>Bruno Velloso ⚡</v>
      </c>
      <c r="B25" s="1" t="str">
        <f>IFERROR(__xludf.DUMMYFUNCTION("""COMPUTED_VALUE"""),"bruvelloso")</f>
        <v>bruvelloso</v>
      </c>
      <c r="C25" s="1" t="str">
        <f>IFERROR(__xludf.DUMMYFUNCTION("""COMPUTED_VALUE"""),"💸 Entenda suas finanças na era digital 
🍄 Viciado em esportes 
🪙 Estudo #bitcoin desde 2015
🦄 Criador da bCripto")</f>
        <v>💸 Entenda suas finanças na era digital 
🍄 Viciado em esportes 
🪙 Estudo #bitcoin desde 2015
🦄 Criador da bCripto</v>
      </c>
      <c r="D25" s="1">
        <f>IFERROR(__xludf.DUMMYFUNCTION("""COMPUTED_VALUE"""),0.0052893840833457)</f>
        <v>0.005289384083</v>
      </c>
      <c r="E25" s="3">
        <f>IFERROR(__xludf.DUMMYFUNCTION("""COMPUTED_VALUE"""),319.0)</f>
        <v>319</v>
      </c>
    </row>
    <row r="26">
      <c r="A26" s="9" t="str">
        <f>IFERROR(__xludf.DUMMYFUNCTION("""COMPUTED_VALUE"""),"Rio Bravo")</f>
        <v>Rio Bravo</v>
      </c>
      <c r="B26" s="1" t="str">
        <f>IFERROR(__xludf.DUMMYFUNCTION("""COMPUTED_VALUE"""),"rio_bravo")</f>
        <v>rio_bravo</v>
      </c>
      <c r="C26" s="1" t="str">
        <f>IFERROR(__xludf.DUMMYFUNCTION("""COMPUTED_VALUE"""),"Há mais de 20 anos, fazemos a ponte entre o mercado e sociedade, e nos propomos a impulsionar a nova geração de investimentos e investidores conscientes.")</f>
        <v>Há mais de 20 anos, fazemos a ponte entre o mercado e sociedade, e nos propomos a impulsionar a nova geração de investimentos e investidores conscientes.</v>
      </c>
      <c r="D26" s="1">
        <f>IFERROR(__xludf.DUMMYFUNCTION("""COMPUTED_VALUE"""),0.0052893840833457)</f>
        <v>0.005289384083</v>
      </c>
      <c r="E26" s="3">
        <f>IFERROR(__xludf.DUMMYFUNCTION("""COMPUTED_VALUE"""),3111.0)</f>
        <v>3111</v>
      </c>
    </row>
    <row r="27">
      <c r="A27" s="9" t="str">
        <f>IFERROR(__xludf.DUMMYFUNCTION("""COMPUTED_VALUE"""),"Banco do Nordeste")</f>
        <v>Banco do Nordeste</v>
      </c>
      <c r="B27" s="1" t="str">
        <f>IFERROR(__xludf.DUMMYFUNCTION("""COMPUTED_VALUE"""),"bancodonordeste")</f>
        <v>bancodonordeste</v>
      </c>
      <c r="C27" s="1" t="str">
        <f>IFERROR(__xludf.DUMMYFUNCTION("""COMPUTED_VALUE"""),"Desenvolvimento e sustentabilidade. Há 71 anos, sempre em frente para a Região acelerar. Perfil oficial.")</f>
        <v>Desenvolvimento e sustentabilidade. Há 71 anos, sempre em frente para a Região acelerar. Perfil oficial.</v>
      </c>
      <c r="D27" s="1">
        <f>IFERROR(__xludf.DUMMYFUNCTION("""COMPUTED_VALUE"""),0.0052893840833457)</f>
        <v>0.005289384083</v>
      </c>
      <c r="E27" s="3">
        <f>IFERROR(__xludf.DUMMYFUNCTION("""COMPUTED_VALUE"""),1329.0)</f>
        <v>1329</v>
      </c>
    </row>
    <row r="28">
      <c r="A28" s="9" t="str">
        <f>IFERROR(__xludf.DUMMYFUNCTION("""COMPUTED_VALUE"""),"Brenner Delfino")</f>
        <v>Brenner Delfino</v>
      </c>
      <c r="B28" s="1" t="str">
        <f>IFERROR(__xludf.DUMMYFUNCTION("""COMPUTED_VALUE"""),"brennerdelfino")</f>
        <v>brennerdelfino</v>
      </c>
      <c r="C28" s="1" t="str">
        <f>IFERROR(__xludf.DUMMYFUNCTION("""COMPUTED_VALUE"""),"Consultor Financeiro 💰
Especialista em Score Baixo 🎯
liberação de crédito:
cartão 💳
Financiamento 🚘
Empréstimo 💸")</f>
        <v>Consultor Financeiro 💰
Especialista em Score Baixo 🎯
liberação de crédito:
cartão 💳
Financiamento 🚘
Empréstimo 💸</v>
      </c>
      <c r="D28" s="1">
        <f>IFERROR(__xludf.DUMMYFUNCTION("""COMPUTED_VALUE"""),0.0052893840833457)</f>
        <v>0.005289384083</v>
      </c>
      <c r="E28" s="3">
        <f>IFERROR(__xludf.DUMMYFUNCTION("""COMPUTED_VALUE"""),47.0)</f>
        <v>47</v>
      </c>
    </row>
    <row r="29">
      <c r="A29" s="9" t="str">
        <f>IFERROR(__xludf.DUMMYFUNCTION("""COMPUTED_VALUE"""),"Jacó a girafa das Finanças")</f>
        <v>Jacó a girafa das Finanças</v>
      </c>
      <c r="B29" s="1" t="str">
        <f>IFERROR(__xludf.DUMMYFUNCTION("""COMPUTED_VALUE"""),"jacoagirafa")</f>
        <v>jacoagirafa</v>
      </c>
      <c r="C29" s="1" t="str">
        <f>IFERROR(__xludf.DUMMYFUNCTION("""COMPUTED_VALUE"""),"Saia do caos financeiro e encontre a estabilidade e a paz que você tanto deseja!")</f>
        <v>Saia do caos financeiro e encontre a estabilidade e a paz que você tanto deseja!</v>
      </c>
      <c r="D29" s="1">
        <f>IFERROR(__xludf.DUMMYFUNCTION("""COMPUTED_VALUE"""),0.0052893840833457)</f>
        <v>0.005289384083</v>
      </c>
      <c r="E29" s="3">
        <f>IFERROR(__xludf.DUMMYFUNCTION("""COMPUTED_VALUE"""),3.0)</f>
        <v>3</v>
      </c>
    </row>
    <row r="30">
      <c r="A30" s="9" t="str">
        <f>IFERROR(__xludf.DUMMYFUNCTION("""COMPUTED_VALUE"""),"Vinicius R. Ruscito")</f>
        <v>Vinicius R. Ruscito</v>
      </c>
      <c r="B30" s="1" t="str">
        <f>IFERROR(__xludf.DUMMYFUNCTION("""COMPUTED_VALUE"""),"vi_ruscito")</f>
        <v>vi_ruscito</v>
      </c>
      <c r="C30" s="1" t="str">
        <f>IFERROR(__xludf.DUMMYFUNCTION("""COMPUTED_VALUE"""),"Boas empresas, que pagam bons dividendos, a bons preços. Simples assim!")</f>
        <v>Boas empresas, que pagam bons dividendos, a bons preços. Simples assim!</v>
      </c>
      <c r="D30" s="1">
        <f>IFERROR(__xludf.DUMMYFUNCTION("""COMPUTED_VALUE"""),0.0052893840833457)</f>
        <v>0.005289384083</v>
      </c>
      <c r="E30" s="3">
        <f>IFERROR(__xludf.DUMMYFUNCTION("""COMPUTED_VALUE"""),37.0)</f>
        <v>37</v>
      </c>
    </row>
    <row r="31">
      <c r="A31" s="9" t="str">
        <f>IFERROR(__xludf.DUMMYFUNCTION("""COMPUTED_VALUE"""),"TiagoRobertoFinancas")</f>
        <v>TiagoRobertoFinancas</v>
      </c>
      <c r="B31" s="1" t="str">
        <f>IFERROR(__xludf.DUMMYFUNCTION("""COMPUTED_VALUE"""),"tiago_roberto_")</f>
        <v>tiago_roberto_</v>
      </c>
      <c r="C31" s="1" t="str">
        <f>IFERROR(__xludf.DUMMYFUNCTION("""COMPUTED_VALUE"""),"🧑🏾‍💼Administrador
💰Mentor de Investimentos
💎Idealizador da Comunidade⤵️
⚔️Investidores da Liberdade
⚔️Seja membro gratuitamente⤵️")</f>
        <v>🧑🏾‍💼Administrador
💰Mentor de Investimentos
💎Idealizador da Comunidade⤵️
⚔️Investidores da Liberdade
⚔️Seja membro gratuitamente⤵️</v>
      </c>
      <c r="D31" s="1">
        <f>IFERROR(__xludf.DUMMYFUNCTION("""COMPUTED_VALUE"""),0.0052893840833457)</f>
        <v>0.005289384083</v>
      </c>
      <c r="E31" s="3">
        <f>IFERROR(__xludf.DUMMYFUNCTION("""COMPUTED_VALUE"""),12.0)</f>
        <v>12</v>
      </c>
    </row>
    <row r="32">
      <c r="A32" s="9" t="str">
        <f>IFERROR(__xludf.DUMMYFUNCTION("""COMPUTED_VALUE"""),"Luiz Baur")</f>
        <v>Luiz Baur</v>
      </c>
      <c r="B32" s="1" t="str">
        <f>IFERROR(__xludf.DUMMYFUNCTION("""COMPUTED_VALUE"""),"oluizbaur")</f>
        <v>oluizbaur</v>
      </c>
      <c r="C32" s="1"/>
      <c r="D32" s="1">
        <f>IFERROR(__xludf.DUMMYFUNCTION("""COMPUTED_VALUE"""),0.0052893840833457)</f>
        <v>0.005289384083</v>
      </c>
      <c r="E32" s="3">
        <f>IFERROR(__xludf.DUMMYFUNCTION("""COMPUTED_VALUE"""),19.0)</f>
        <v>19</v>
      </c>
    </row>
    <row r="33">
      <c r="A33" s="9" t="str">
        <f>IFERROR(__xludf.DUMMYFUNCTION("""COMPUTED_VALUE"""),"Fabiana Bernardes")</f>
        <v>Fabiana Bernardes</v>
      </c>
      <c r="B33" s="1" t="str">
        <f>IFERROR(__xludf.DUMMYFUNCTION("""COMPUTED_VALUE"""),"fabi_b_amador")</f>
        <v>fabi_b_amador</v>
      </c>
      <c r="C33" s="1"/>
      <c r="D33" s="1">
        <f>IFERROR(__xludf.DUMMYFUNCTION("""COMPUTED_VALUE"""),0.0052893840833457)</f>
        <v>0.005289384083</v>
      </c>
      <c r="E33" s="3">
        <f>IFERROR(__xludf.DUMMYFUNCTION("""COMPUTED_VALUE"""),16.0)</f>
        <v>16</v>
      </c>
    </row>
    <row r="34">
      <c r="A34" s="9" t="str">
        <f>IFERROR(__xludf.DUMMYFUNCTION("""COMPUTED_VALUE"""),"Neto Rebello")</f>
        <v>Neto Rebello</v>
      </c>
      <c r="B34" s="1" t="str">
        <f>IFERROR(__xludf.DUMMYFUNCTION("""COMPUTED_VALUE"""),"netorebello1")</f>
        <v>netorebello1</v>
      </c>
      <c r="C34" s="1" t="str">
        <f>IFERROR(__xludf.DUMMYFUNCTION("""COMPUTED_VALUE"""),"Ajudo pessoas comuns a perderem o medo de começar a investir 📈🚀")</f>
        <v>Ajudo pessoas comuns a perderem o medo de começar a investir 📈🚀</v>
      </c>
      <c r="D34" s="1">
        <f>IFERROR(__xludf.DUMMYFUNCTION("""COMPUTED_VALUE"""),0.0052893840833457)</f>
        <v>0.005289384083</v>
      </c>
      <c r="E34" s="3">
        <f>IFERROR(__xludf.DUMMYFUNCTION("""COMPUTED_VALUE"""),7.0)</f>
        <v>7</v>
      </c>
    </row>
    <row r="35">
      <c r="A35" s="9" t="str">
        <f>IFERROR(__xludf.DUMMYFUNCTION("""COMPUTED_VALUE"""),"Paulo | Marketing Digital | Finanças")</f>
        <v>Paulo | Marketing Digital | Finanças</v>
      </c>
      <c r="B35" s="1" t="str">
        <f>IFERROR(__xludf.DUMMYFUNCTION("""COMPUTED_VALUE"""),"paulonodigital")</f>
        <v>paulonodigital</v>
      </c>
      <c r="C35" s="1" t="str">
        <f>IFERROR(__xludf.DUMMYFUNCTION("""COMPUTED_VALUE"""),"🙅‍♂️Marketing Digital |Finanças e empreendedorismo 💰de negativado a investidor 👨‍💻 Empreendendo no digital e faturando Conteúdo no YouTube👇🏽")</f>
        <v>🙅‍♂️Marketing Digital |Finanças e empreendedorismo 💰de negativado a investidor 👨‍💻 Empreendendo no digital e faturando Conteúdo no YouTube👇🏽</v>
      </c>
      <c r="D35" s="1">
        <f>IFERROR(__xludf.DUMMYFUNCTION("""COMPUTED_VALUE"""),0.0052893840833457)</f>
        <v>0.005289384083</v>
      </c>
      <c r="E35" s="3">
        <f>IFERROR(__xludf.DUMMYFUNCTION("""COMPUTED_VALUE"""),8.0)</f>
        <v>8</v>
      </c>
    </row>
    <row r="36">
      <c r="A36" s="9" t="str">
        <f>IFERROR(__xludf.DUMMYFUNCTION("""COMPUTED_VALUE"""),"Diélison Demíx")</f>
        <v>Diélison Demíx</v>
      </c>
      <c r="B36" s="1" t="str">
        <f>IFERROR(__xludf.DUMMYFUNCTION("""COMPUTED_VALUE"""),"dielison_")</f>
        <v>dielison_</v>
      </c>
      <c r="C36" s="1" t="str">
        <f>IFERROR(__xludf.DUMMYFUNCTION("""COMPUTED_VALUE"""),"🏫 #Estudante de #economia na #PUCCampinas
💚 #Vegan
💚 #Papai da #JulietteDemíx
💲 #Criptomoedas
💸 #Bitcoin
💸 #XMR
❤️ #Monero")</f>
        <v>🏫 #Estudante de #economia na #PUCCampinas
💚 #Vegan
💚 #Papai da #JulietteDemíx
💲 #Criptomoedas
💸 #Bitcoin
💸 #XMR
❤️ #Monero</v>
      </c>
      <c r="D36" s="1">
        <f>IFERROR(__xludf.DUMMYFUNCTION("""COMPUTED_VALUE"""),0.0052893840833457)</f>
        <v>0.005289384083</v>
      </c>
      <c r="E36" s="3">
        <f>IFERROR(__xludf.DUMMYFUNCTION("""COMPUTED_VALUE"""),112.0)</f>
        <v>112</v>
      </c>
    </row>
    <row r="37">
      <c r="A37" s="9" t="str">
        <f>IFERROR(__xludf.DUMMYFUNCTION("""COMPUTED_VALUE"""),"Fábio Oliveira | CFEd®")</f>
        <v>Fábio Oliveira | CFEd®</v>
      </c>
      <c r="B37" s="1" t="str">
        <f>IFERROR(__xludf.DUMMYFUNCTION("""COMPUTED_VALUE"""),"fabiooliveira18")</f>
        <v>fabiooliveira18</v>
      </c>
      <c r="C37" s="1" t="str">
        <f>IFERROR(__xludf.DUMMYFUNCTION("""COMPUTED_VALUE"""),"Jesus meu Amor Maior🙏🙌 Esposo de Rebeca😍 Pai de Letícia 😘 Educador Financeiro💵 Ajudar o próximo minha missão😀")</f>
        <v>Jesus meu Amor Maior🙏🙌 Esposo de Rebeca😍 Pai de Letícia 😘 Educador Financeiro💵 Ajudar o próximo minha missão😀</v>
      </c>
      <c r="D37" s="1">
        <f>IFERROR(__xludf.DUMMYFUNCTION("""COMPUTED_VALUE"""),0.0052893840833457)</f>
        <v>0.005289384083</v>
      </c>
      <c r="E37" s="3">
        <f>IFERROR(__xludf.DUMMYFUNCTION("""COMPUTED_VALUE"""),197.0)</f>
        <v>197</v>
      </c>
    </row>
    <row r="38">
      <c r="A38" s="9" t="str">
        <f>IFERROR(__xludf.DUMMYFUNCTION("""COMPUTED_VALUE"""),"123 Passei")</f>
        <v>123 Passei</v>
      </c>
      <c r="B38" s="1" t="str">
        <f>IFERROR(__xludf.DUMMYFUNCTION("""COMPUTED_VALUE"""),"123passei")</f>
        <v>123passei</v>
      </c>
      <c r="C38" s="1" t="str">
        <f>IFERROR(__xludf.DUMMYFUNCTION("""COMPUTED_VALUE"""),"Perfil Oficial da 123 Passei! 😉 | O direcionamento que você precisa para estudar tudo que importa! 🥇")</f>
        <v>Perfil Oficial da 123 Passei! 😉 | O direcionamento que você precisa para estudar tudo que importa! 🥇</v>
      </c>
      <c r="D38" s="1">
        <f>IFERROR(__xludf.DUMMYFUNCTION("""COMPUTED_VALUE"""),0.0052893840833457)</f>
        <v>0.005289384083</v>
      </c>
      <c r="E38" s="3">
        <f>IFERROR(__xludf.DUMMYFUNCTION("""COMPUTED_VALUE"""),129.0)</f>
        <v>129</v>
      </c>
    </row>
    <row r="39">
      <c r="A39" s="9" t="str">
        <f>IFERROR(__xludf.DUMMYFUNCTION("""COMPUTED_VALUE"""),"SonarTrade")</f>
        <v>SonarTrade</v>
      </c>
      <c r="B39" s="1" t="str">
        <f>IFERROR(__xludf.DUMMYFUNCTION("""COMPUTED_VALUE"""),"sonartrade")</f>
        <v>sonartrade</v>
      </c>
      <c r="C39" s="1" t="str">
        <f>IFERROR(__xludf.DUMMYFUNCTION("""COMPUTED_VALUE"""),"SonarTrade: Seu marketplace de recomendações e copy trading de trades e carteiras. Potencialize sua rentabilidade com insights de experts na palma da mão! 📈📲")</f>
        <v>SonarTrade: Seu marketplace de recomendações e copy trading de trades e carteiras. Potencialize sua rentabilidade com insights de experts na palma da mão! 📈📲</v>
      </c>
      <c r="D39" s="1">
        <f>IFERROR(__xludf.DUMMYFUNCTION("""COMPUTED_VALUE"""),0.0052893840833457)</f>
        <v>0.005289384083</v>
      </c>
      <c r="E39" s="3">
        <f>IFERROR(__xludf.DUMMYFUNCTION("""COMPUTED_VALUE"""),459.0)</f>
        <v>459</v>
      </c>
    </row>
    <row r="40">
      <c r="A40" s="9" t="str">
        <f>IFERROR(__xludf.DUMMYFUNCTION("""COMPUTED_VALUE"""),"EconoVisão")</f>
        <v>EconoVisão</v>
      </c>
      <c r="B40" s="1" t="str">
        <f>IFERROR(__xludf.DUMMYFUNCTION("""COMPUTED_VALUE"""),"econovisao")</f>
        <v>econovisao</v>
      </c>
      <c r="C40" s="1" t="str">
        <f>IFERROR(__xludf.DUMMYFUNCTION("""COMPUTED_VALUE"""),"📊ECONOVISÃO💡
🌐|Economia 
📉|Investimentos 
💰|Finanças")</f>
        <v>📊ECONOVISÃO💡
🌐|Economia 
📉|Investimentos 
💰|Finanças</v>
      </c>
      <c r="D40" s="1">
        <f>IFERROR(__xludf.DUMMYFUNCTION("""COMPUTED_VALUE"""),0.0052893840833457)</f>
        <v>0.005289384083</v>
      </c>
      <c r="E40" s="3">
        <f>IFERROR(__xludf.DUMMYFUNCTION("""COMPUTED_VALUE"""),8.0)</f>
        <v>8</v>
      </c>
    </row>
    <row r="41">
      <c r="A41" s="9" t="str">
        <f>IFERROR(__xludf.DUMMYFUNCTION("""COMPUTED_VALUE"""),"TraderVlog")</f>
        <v>TraderVlog</v>
      </c>
      <c r="B41" s="1" t="str">
        <f>IFERROR(__xludf.DUMMYFUNCTION("""COMPUTED_VALUE"""),"tradervlog")</f>
        <v>tradervlog</v>
      </c>
      <c r="C41" s="1" t="str">
        <f>IFERROR(__xludf.DUMMYFUNCTION("""COMPUTED_VALUE"""),"Trading XAUUSD 🔥  — Análises, Dicas e Estratégias de Trading  — Sinais Gratuitos XAUUSD no primeiro link abaixo 👇  — Posts como Referência Educacional")</f>
        <v>Trading XAUUSD 🔥  — Análises, Dicas e Estratégias de Trading  — Sinais Gratuitos XAUUSD no primeiro link abaixo 👇  — Posts como Referência Educacional</v>
      </c>
      <c r="D41" s="1">
        <f>IFERROR(__xludf.DUMMYFUNCTION("""COMPUTED_VALUE"""),0.0052893840833457)</f>
        <v>0.005289384083</v>
      </c>
      <c r="E41" s="3">
        <f>IFERROR(__xludf.DUMMYFUNCTION("""COMPUTED_VALUE"""),130.0)</f>
        <v>130</v>
      </c>
    </row>
    <row r="42">
      <c r="A42" s="9" t="str">
        <f>IFERROR(__xludf.DUMMYFUNCTION("""COMPUTED_VALUE"""),"JRVC Business Solutions")</f>
        <v>JRVC Business Solutions</v>
      </c>
      <c r="B42" s="1" t="str">
        <f>IFERROR(__xludf.DUMMYFUNCTION("""COMPUTED_VALUE"""),"businessjrvc")</f>
        <v>businessjrvc</v>
      </c>
      <c r="C42" s="1" t="str">
        <f>IFERROR(__xludf.DUMMYFUNCTION("""COMPUTED_VALUE"""),"Consultoria Estratégica")</f>
        <v>Consultoria Estratégica</v>
      </c>
      <c r="D42" s="1">
        <f>IFERROR(__xludf.DUMMYFUNCTION("""COMPUTED_VALUE"""),0.0052893840833457)</f>
        <v>0.005289384083</v>
      </c>
      <c r="E42" s="3">
        <f>IFERROR(__xludf.DUMMYFUNCTION("""COMPUTED_VALUE"""),1.0)</f>
        <v>1</v>
      </c>
    </row>
    <row r="43">
      <c r="A43" s="9" t="str">
        <f>IFERROR(__xludf.DUMMYFUNCTION("""COMPUTED_VALUE"""),"Daniel φ")</f>
        <v>Daniel φ</v>
      </c>
      <c r="B43" s="1" t="str">
        <f>IFERROR(__xludf.DUMMYFUNCTION("""COMPUTED_VALUE"""),"danielg_s6")</f>
        <v>danielg_s6</v>
      </c>
      <c r="C43" s="1" t="str">
        <f>IFERROR(__xludf.DUMMYFUNCTION("""COMPUTED_VALUE"""),"#DataScientist #Finance
#AI #ChatGPT #Mercado #Câmbio
It is scientific only to say what is more likely and what less likely, and not to be proving all the time.")</f>
        <v>#DataScientist #Finance
#AI #ChatGPT #Mercado #Câmbio
It is scientific only to say what is more likely and what less likely, and not to be proving all the time.</v>
      </c>
      <c r="D43" s="1">
        <f>IFERROR(__xludf.DUMMYFUNCTION("""COMPUTED_VALUE"""),0.0052893840833457)</f>
        <v>0.005289384083</v>
      </c>
      <c r="E43" s="3">
        <f>IFERROR(__xludf.DUMMYFUNCTION("""COMPUTED_VALUE"""),203.0)</f>
        <v>203</v>
      </c>
    </row>
    <row r="44">
      <c r="A44" s="9" t="str">
        <f>IFERROR(__xludf.DUMMYFUNCTION("""COMPUTED_VALUE"""),"Índigo Instituto")</f>
        <v>Índigo Instituto</v>
      </c>
      <c r="B44" s="1" t="str">
        <f>IFERROR(__xludf.DUMMYFUNCTION("""COMPUTED_VALUE"""),"indigoinstituto")</f>
        <v>indigoinstituto</v>
      </c>
      <c r="C44" s="1" t="str">
        <f>IFERROR(__xludf.DUMMYFUNCTION("""COMPUTED_VALUE"""),"Instituto de Inovação e Governança")</f>
        <v>Instituto de Inovação e Governança</v>
      </c>
      <c r="D44" s="1">
        <f>IFERROR(__xludf.DUMMYFUNCTION("""COMPUTED_VALUE"""),0.0052893840833457)</f>
        <v>0.005289384083</v>
      </c>
      <c r="E44" s="3">
        <f>IFERROR(__xludf.DUMMYFUNCTION("""COMPUTED_VALUE"""),1002.0)</f>
        <v>1002</v>
      </c>
    </row>
    <row r="45">
      <c r="A45" s="9" t="str">
        <f>IFERROR(__xludf.DUMMYFUNCTION("""COMPUTED_VALUE"""),"Minter | Educação Financeira")</f>
        <v>Minter | Educação Financeira</v>
      </c>
      <c r="B45" s="1" t="str">
        <f>IFERROR(__xludf.DUMMYFUNCTION("""COMPUTED_VALUE"""),"minteredu")</f>
        <v>minteredu</v>
      </c>
      <c r="C45" s="1" t="str">
        <f>IFERROR(__xludf.DUMMYFUNCTION("""COMPUTED_VALUE"""),"💲| 𝙵𝚒𝚗𝚊𝚗ç𝚊𝚜 𝚙𝚊𝚛𝚊 𝚝𝚘𝚍𝚘𝚜
💥| 𝙳𝚘𝚖𝚒𝚗𝚎 𝚏𝚒𝚗𝚊𝚗ç𝚊𝚜 𝚎 𝚏𝚊ç𝚊 𝚋𝚘𝚊𝚜 𝚎𝚜𝚌𝚘𝚕𝚑𝚊𝚜
⬇️| 𝚅𝚒𝚜𝚒𝚝𝚎 https://t.co/pkS0sEMfzD")</f>
        <v>💲| 𝙵𝚒𝚗𝚊𝚗ç𝚊𝚜 𝚙𝚊𝚛𝚊 𝚝𝚘𝚍𝚘𝚜
💥| 𝙳𝚘𝚖𝚒𝚗𝚎 𝚏𝚒𝚗𝚊𝚗ç𝚊𝚜 𝚎 𝚏𝚊ç𝚊 𝚋𝚘𝚊𝚜 𝚎𝚜𝚌𝚘𝚕𝚑𝚊𝚜
⬇️| 𝚅𝚒𝚜𝚒𝚝𝚎 https://t.co/pkS0sEMfzD</v>
      </c>
      <c r="D45" s="1">
        <f>IFERROR(__xludf.DUMMYFUNCTION("""COMPUTED_VALUE"""),0.0052893840833457)</f>
        <v>0.005289384083</v>
      </c>
      <c r="E45" s="3">
        <f>IFERROR(__xludf.DUMMYFUNCTION("""COMPUTED_VALUE"""),2.0)</f>
        <v>2</v>
      </c>
    </row>
    <row r="46">
      <c r="A46" s="9" t="str">
        <f>IFERROR(__xludf.DUMMYFUNCTION("""COMPUTED_VALUE"""),"Pedro Fagundes")</f>
        <v>Pedro Fagundes</v>
      </c>
      <c r="B46" s="1" t="str">
        <f>IFERROR(__xludf.DUMMYFUNCTION("""COMPUTED_VALUE"""),"pedrofagundes")</f>
        <v>pedrofagundes</v>
      </c>
      <c r="C46" s="1" t="str">
        <f>IFERROR(__xludf.DUMMYFUNCTION("""COMPUTED_VALUE"""),"MBA Investimentos e Private Banking. Fluzão!
Instagram: https://t.co/PpxLZNA1pX")</f>
        <v>MBA Investimentos e Private Banking. Fluzão!
Instagram: https://t.co/PpxLZNA1pX</v>
      </c>
      <c r="D46" s="1">
        <f>IFERROR(__xludf.DUMMYFUNCTION("""COMPUTED_VALUE"""),0.0052893840833457)</f>
        <v>0.005289384083</v>
      </c>
      <c r="E46" s="3">
        <f>IFERROR(__xludf.DUMMYFUNCTION("""COMPUTED_VALUE"""),957.0)</f>
        <v>957</v>
      </c>
    </row>
    <row r="47">
      <c r="A47" s="9" t="str">
        <f>IFERROR(__xludf.DUMMYFUNCTION("""COMPUTED_VALUE"""),"Inês Santos")</f>
        <v>Inês Santos</v>
      </c>
      <c r="B47" s="1" t="str">
        <f>IFERROR(__xludf.DUMMYFUNCTION("""COMPUTED_VALUE"""),"bynessantos")</f>
        <v>bynessantos</v>
      </c>
      <c r="C47" s="1"/>
      <c r="D47" s="1">
        <f>IFERROR(__xludf.DUMMYFUNCTION("""COMPUTED_VALUE"""),0.0052893840833457)</f>
        <v>0.005289384083</v>
      </c>
      <c r="E47" s="3">
        <f>IFERROR(__xludf.DUMMYFUNCTION("""COMPUTED_VALUE"""),0.0)</f>
        <v>0</v>
      </c>
    </row>
    <row r="48">
      <c r="A48" s="9" t="str">
        <f>IFERROR(__xludf.DUMMYFUNCTION("""COMPUTED_VALUE"""),"Meu Bolso em Dia")</f>
        <v>Meu Bolso em Dia</v>
      </c>
      <c r="B48" s="1" t="str">
        <f>IFERROR(__xludf.DUMMYFUNCTION("""COMPUTED_VALUE"""),"meubolsoemdia")</f>
        <v>meubolsoemdia</v>
      </c>
      <c r="C48" s="1" t="str">
        <f>IFERROR(__xludf.DUMMYFUNCTION("""COMPUTED_VALUE"""),"Aqui você aprende a cuidar bem do seu dinheiro. @FEBRABAN")</f>
        <v>Aqui você aprende a cuidar bem do seu dinheiro. @FEBRABAN</v>
      </c>
      <c r="D48" s="1">
        <f>IFERROR(__xludf.DUMMYFUNCTION("""COMPUTED_VALUE"""),0.0052893840833457)</f>
        <v>0.005289384083</v>
      </c>
      <c r="E48" s="3">
        <f>IFERROR(__xludf.DUMMYFUNCTION("""COMPUTED_VALUE"""),8184.0)</f>
        <v>8184</v>
      </c>
    </row>
    <row r="49">
      <c r="A49" s="9" t="str">
        <f>IFERROR(__xludf.DUMMYFUNCTION("""COMPUTED_VALUE"""),"Simon BR")</f>
        <v>Simon BR</v>
      </c>
      <c r="B49" s="1" t="str">
        <f>IFERROR(__xludf.DUMMYFUNCTION("""COMPUTED_VALUE"""),"simonramosbr")</f>
        <v>simonramosbr</v>
      </c>
      <c r="C49" s="1" t="str">
        <f>IFERROR(__xludf.DUMMYFUNCTION("""COMPUTED_VALUE"""),"💵 Empreendedor Digital📱Gestor de Tráfego ADS 👨‍👩‍👧 Pai da Manu 💕")</f>
        <v>💵 Empreendedor Digital📱Gestor de Tráfego ADS 👨‍👩‍👧 Pai da Manu 💕</v>
      </c>
      <c r="D49" s="1">
        <f>IFERROR(__xludf.DUMMYFUNCTION("""COMPUTED_VALUE"""),0.0052893840833457)</f>
        <v>0.005289384083</v>
      </c>
      <c r="E49" s="3">
        <f>IFERROR(__xludf.DUMMYFUNCTION("""COMPUTED_VALUE"""),0.0)</f>
        <v>0</v>
      </c>
    </row>
    <row r="50">
      <c r="A50" s="9" t="str">
        <f>IFERROR(__xludf.DUMMYFUNCTION("""COMPUTED_VALUE"""),"The Holder Investor®")</f>
        <v>The Holder Investor®</v>
      </c>
      <c r="B50" s="1" t="str">
        <f>IFERROR(__xludf.DUMMYFUNCTION("""COMPUTED_VALUE"""),"theholderinvest")</f>
        <v>theholderinvest</v>
      </c>
      <c r="C50" s="1" t="str">
        <f>IFERROR(__xludf.DUMMYFUNCTION("""COMPUTED_VALUE"""),"“O conhecimento está disperso pela sociedade” ~Friedrich Hayek.")</f>
        <v>“O conhecimento está disperso pela sociedade” ~Friedrich Hayek.</v>
      </c>
      <c r="D50" s="1">
        <f>IFERROR(__xludf.DUMMYFUNCTION("""COMPUTED_VALUE"""),0.0052893840833457)</f>
        <v>0.005289384083</v>
      </c>
      <c r="E50" s="3">
        <f>IFERROR(__xludf.DUMMYFUNCTION("""COMPUTED_VALUE"""),4.0)</f>
        <v>4</v>
      </c>
    </row>
    <row r="51">
      <c r="A51" s="9" t="str">
        <f>IFERROR(__xludf.DUMMYFUNCTION("""COMPUTED_VALUE"""),"Gutemberg 💥")</f>
        <v>Gutemberg 💥</v>
      </c>
      <c r="B51" s="1" t="str">
        <f>IFERROR(__xludf.DUMMYFUNCTION("""COMPUTED_VALUE"""),"gutemberggjaa")</f>
        <v>gutemberggjaa</v>
      </c>
      <c r="C51" s="1" t="str">
        <f>IFERROR(__xludf.DUMMYFUNCTION("""COMPUTED_VALUE"""),"🤙🏽")</f>
        <v>🤙🏽</v>
      </c>
      <c r="D51" s="1">
        <f>IFERROR(__xludf.DUMMYFUNCTION("""COMPUTED_VALUE"""),0.0052893840833457)</f>
        <v>0.005289384083</v>
      </c>
      <c r="E51" s="3">
        <f>IFERROR(__xludf.DUMMYFUNCTION("""COMPUTED_VALUE"""),140.0)</f>
        <v>140</v>
      </c>
    </row>
    <row r="52">
      <c r="A52" s="9" t="str">
        <f>IFERROR(__xludf.DUMMYFUNCTION("""COMPUTED_VALUE"""),"Paulo Borba")</f>
        <v>Paulo Borba</v>
      </c>
      <c r="B52" s="1" t="str">
        <f>IFERROR(__xludf.DUMMYFUNCTION("""COMPUTED_VALUE"""),"realpauloborba")</f>
        <v>realpauloborba</v>
      </c>
      <c r="C52" s="32" t="str">
        <f>IFERROR(__xludf.DUMMYFUNCTION("""COMPUTED_VALUE"""),"https://t.co/xIxV1zsRqu")</f>
        <v>https://t.co/xIxV1zsRqu</v>
      </c>
      <c r="D52" s="1">
        <f>IFERROR(__xludf.DUMMYFUNCTION("""COMPUTED_VALUE"""),0.0052893840833457)</f>
        <v>0.005289384083</v>
      </c>
      <c r="E52" s="3">
        <f>IFERROR(__xludf.DUMMYFUNCTION("""COMPUTED_VALUE"""),653.0)</f>
        <v>653</v>
      </c>
    </row>
    <row r="53">
      <c r="A53" s="24" t="str">
        <f>IFERROR(__xludf.DUMMYFUNCTION("""COMPUTED_VALUE"""),"ABRATES")</f>
        <v>ABRATES</v>
      </c>
      <c r="B53" s="1" t="str">
        <f>IFERROR(__xludf.DUMMYFUNCTION("""COMPUTED_VALUE"""),"_abrates")</f>
        <v>_abrates</v>
      </c>
      <c r="C53" s="1" t="str">
        <f>IFERROR(__xludf.DUMMYFUNCTION("""COMPUTED_VALUE"""),"A Associação Brasileira de Tradutores e Intérpretes foi fundada nos anos 70 para promover os profissionais e a profissão.")</f>
        <v>A Associação Brasileira de Tradutores e Intérpretes foi fundada nos anos 70 para promover os profissionais e a profissão.</v>
      </c>
      <c r="D53" s="1">
        <f>IFERROR(__xludf.DUMMYFUNCTION("""COMPUTED_VALUE"""),0.0052893840833457)</f>
        <v>0.005289384083</v>
      </c>
      <c r="E53" s="3">
        <f>IFERROR(__xludf.DUMMYFUNCTION("""COMPUTED_VALUE"""),2484.0)</f>
        <v>2484</v>
      </c>
    </row>
    <row r="54">
      <c r="A54" s="9" t="str">
        <f>IFERROR(__xludf.DUMMYFUNCTION("""COMPUTED_VALUE"""),"Gabriel Costa")</f>
        <v>Gabriel Costa</v>
      </c>
      <c r="B54" s="1" t="str">
        <f>IFERROR(__xludf.DUMMYFUNCTION("""COMPUTED_VALUE"""),"grm88765974grm")</f>
        <v>grm88765974grm</v>
      </c>
      <c r="C54" s="1" t="str">
        <f>IFERROR(__xludf.DUMMYFUNCTION("""COMPUTED_VALUE"""),"Falo de finanças e motivação para ajudar você a alcançar a liberdade financeira
#GanharDinheiroOnline #RendaExtra
#TrabalhoEmCasa #EmpreendedorismoDigital")</f>
        <v>Falo de finanças e motivação para ajudar você a alcançar a liberdade financeira
#GanharDinheiroOnline #RendaExtra
#TrabalhoEmCasa #EmpreendedorismoDigital</v>
      </c>
      <c r="D54" s="1">
        <f>IFERROR(__xludf.DUMMYFUNCTION("""COMPUTED_VALUE"""),0.0052893840833457)</f>
        <v>0.005289384083</v>
      </c>
      <c r="E54" s="3">
        <f>IFERROR(__xludf.DUMMYFUNCTION("""COMPUTED_VALUE"""),19.0)</f>
        <v>19</v>
      </c>
    </row>
    <row r="55">
      <c r="A55" s="9" t="str">
        <f>IFERROR(__xludf.DUMMYFUNCTION("""COMPUTED_VALUE"""),"Murilo A. de Camargo")</f>
        <v>Murilo A. de Camargo</v>
      </c>
      <c r="B55" s="1" t="str">
        <f>IFERROR(__xludf.DUMMYFUNCTION("""COMPUTED_VALUE"""),"muriloabacherli")</f>
        <v>muriloabacherli</v>
      </c>
      <c r="C55" s="1" t="str">
        <f>IFERROR(__xludf.DUMMYFUNCTION("""COMPUTED_VALUE"""),"Deveria estar fazendo divulgação científica, mas tô aqui pra reclamar.")</f>
        <v>Deveria estar fazendo divulgação científica, mas tô aqui pra reclamar.</v>
      </c>
      <c r="D55" s="1">
        <f>IFERROR(__xludf.DUMMYFUNCTION("""COMPUTED_VALUE"""),0.0052893840833457)</f>
        <v>0.005289384083</v>
      </c>
      <c r="E55" s="3">
        <f>IFERROR(__xludf.DUMMYFUNCTION("""COMPUTED_VALUE"""),34.0)</f>
        <v>34</v>
      </c>
    </row>
    <row r="56">
      <c r="A56" s="9" t="str">
        <f>IFERROR(__xludf.DUMMYFUNCTION("""COMPUTED_VALUE"""),"BEĨ Educação")</f>
        <v>BEĨ Educação</v>
      </c>
      <c r="B56" s="1" t="str">
        <f>IFERROR(__xludf.DUMMYFUNCTION("""COMPUTED_VALUE"""),"beieducacao")</f>
        <v>beieducacao</v>
      </c>
      <c r="C56" s="1" t="str">
        <f>IFERROR(__xludf.DUMMYFUNCTION("""COMPUTED_VALUE"""),"Conteúdo com propósito!
Projetos educacionais com foco em experiências transformadoras.")</f>
        <v>Conteúdo com propósito!
Projetos educacionais com foco em experiências transformadoras.</v>
      </c>
      <c r="D56" s="1">
        <f>IFERROR(__xludf.DUMMYFUNCTION("""COMPUTED_VALUE"""),0.0052893840833457)</f>
        <v>0.005289384083</v>
      </c>
      <c r="E56" s="3">
        <f>IFERROR(__xludf.DUMMYFUNCTION("""COMPUTED_VALUE"""),10.0)</f>
        <v>10</v>
      </c>
    </row>
    <row r="57">
      <c r="A57" s="9" t="str">
        <f>IFERROR(__xludf.DUMMYFUNCTION("""COMPUTED_VALUE"""),"Academia Alpha")</f>
        <v>Academia Alpha</v>
      </c>
      <c r="B57" s="1" t="str">
        <f>IFERROR(__xludf.DUMMYFUNCTION("""COMPUTED_VALUE"""),"academiaalphapt")</f>
        <v>academiaalphapt</v>
      </c>
      <c r="C57" s="1" t="str">
        <f>IFERROR(__xludf.DUMMYFUNCTION("""COMPUTED_VALUE"""),"Empreendedor | Cripto Moedas | Startup's | Healthy Life style |")</f>
        <v>Empreendedor | Cripto Moedas | Startup's | Healthy Life style |</v>
      </c>
      <c r="D57" s="1">
        <f>IFERROR(__xludf.DUMMYFUNCTION("""COMPUTED_VALUE"""),0.0052893840833457)</f>
        <v>0.005289384083</v>
      </c>
      <c r="E57" s="3">
        <f>IFERROR(__xludf.DUMMYFUNCTION("""COMPUTED_VALUE"""),531.0)</f>
        <v>531</v>
      </c>
    </row>
    <row r="58">
      <c r="A58" s="9" t="str">
        <f>IFERROR(__xludf.DUMMYFUNCTION("""COMPUTED_VALUE"""),"O que os dados mostram?")</f>
        <v>O que os dados mostram?</v>
      </c>
      <c r="B58" s="1" t="str">
        <f>IFERROR(__xludf.DUMMYFUNCTION("""COMPUTED_VALUE"""),"osdadosmostram")</f>
        <v>osdadosmostram</v>
      </c>
      <c r="C58" s="1" t="str">
        <f>IFERROR(__xludf.DUMMYFUNCTION("""COMPUTED_VALUE"""),"Faço análise de dados, resumo notícias e compartilho tudo no Twitter. Falo sobre #economia, #mercadofinanceiro, #dados  e #educação. Sejam bem-vindos!!!")</f>
        <v>Faço análise de dados, resumo notícias e compartilho tudo no Twitter. Falo sobre #economia, #mercadofinanceiro, #dados  e #educação. Sejam bem-vindos!!!</v>
      </c>
      <c r="D58" s="1">
        <f>IFERROR(__xludf.DUMMYFUNCTION("""COMPUTED_VALUE"""),0.0052893840833457)</f>
        <v>0.005289384083</v>
      </c>
      <c r="E58" s="3">
        <f>IFERROR(__xludf.DUMMYFUNCTION("""COMPUTED_VALUE"""),3186.0)</f>
        <v>3186</v>
      </c>
    </row>
    <row r="59">
      <c r="A59" s="9" t="str">
        <f>IFERROR(__xludf.DUMMYFUNCTION("""COMPUTED_VALUE"""),"ROSA Angela Henrique")</f>
        <v>ROSA Angela Henrique</v>
      </c>
      <c r="B59" s="1" t="str">
        <f>IFERROR(__xludf.DUMMYFUNCTION("""COMPUTED_VALUE"""),"rosaangelahenr2")</f>
        <v>rosaangelahenr2</v>
      </c>
      <c r="C59" s="1" t="str">
        <f>IFERROR(__xludf.DUMMYFUNCTION("""COMPUTED_VALUE"""),"sou escolhida por DEUS")</f>
        <v>sou escolhida por DEUS</v>
      </c>
      <c r="D59" s="1">
        <f>IFERROR(__xludf.DUMMYFUNCTION("""COMPUTED_VALUE"""),0.0052893840833457)</f>
        <v>0.005289384083</v>
      </c>
      <c r="E59" s="3">
        <f>IFERROR(__xludf.DUMMYFUNCTION("""COMPUTED_VALUE"""),189.0)</f>
        <v>189</v>
      </c>
    </row>
    <row r="60">
      <c r="A60" s="9" t="str">
        <f>IFERROR(__xludf.DUMMYFUNCTION("""COMPUTED_VALUE"""),"Samuel Bellomo")</f>
        <v>Samuel Bellomo</v>
      </c>
      <c r="B60" s="1" t="str">
        <f>IFERROR(__xludf.DUMMYFUNCTION("""COMPUTED_VALUE"""),"sbellomo1995")</f>
        <v>sbellomo1995</v>
      </c>
      <c r="C60" s="1" t="str">
        <f>IFERROR(__xludf.DUMMYFUNCTION("""COMPUTED_VALUE"""),"💊 | Sua dose diaria de Inteligencia Financeira")</f>
        <v>💊 | Sua dose diaria de Inteligencia Financeira</v>
      </c>
      <c r="D60" s="1">
        <f>IFERROR(__xludf.DUMMYFUNCTION("""COMPUTED_VALUE"""),0.0052893840833457)</f>
        <v>0.005289384083</v>
      </c>
      <c r="E60" s="3">
        <f>IFERROR(__xludf.DUMMYFUNCTION("""COMPUTED_VALUE"""),6.0)</f>
        <v>6</v>
      </c>
    </row>
    <row r="61">
      <c r="A61" s="9" t="str">
        <f>IFERROR(__xludf.DUMMYFUNCTION("""COMPUTED_VALUE"""),"Binance_Bonus")</f>
        <v>Binance_Bonus</v>
      </c>
      <c r="B61" s="1" t="str">
        <f>IFERROR(__xludf.DUMMYFUNCTION("""COMPUTED_VALUE"""),"bnbcryptobonus")</f>
        <v>bnbcryptobonus</v>
      </c>
      <c r="C61" s="1" t="str">
        <f>IFERROR(__xludf.DUMMYFUNCTION("""COMPUTED_VALUE"""),"Ganhe bônus de 20% nas taxas em todas as transações na Binance.
Crie sua conta agora https://t.co/a0cnzV8WBa")</f>
        <v>Ganhe bônus de 20% nas taxas em todas as transações na Binance.
Crie sua conta agora https://t.co/a0cnzV8WBa</v>
      </c>
      <c r="D61" s="1">
        <f>IFERROR(__xludf.DUMMYFUNCTION("""COMPUTED_VALUE"""),0.0052893840833457)</f>
        <v>0.005289384083</v>
      </c>
      <c r="E61" s="3">
        <f>IFERROR(__xludf.DUMMYFUNCTION("""COMPUTED_VALUE"""),2.0)</f>
        <v>2</v>
      </c>
    </row>
    <row r="62">
      <c r="A62" s="9" t="str">
        <f>IFERROR(__xludf.DUMMYFUNCTION("""COMPUTED_VALUE"""),"Future Proof")</f>
        <v>Future Proof</v>
      </c>
      <c r="B62" s="1" t="str">
        <f>IFERROR(__xludf.DUMMYFUNCTION("""COMPUTED_VALUE"""),"futureproof_wma")</f>
        <v>futureproof_wma</v>
      </c>
      <c r="C62" s="1" t="str">
        <f>IFERROR(__xludf.DUMMYFUNCTION("""COMPUTED_VALUE"""),"Focused on goals-based #FinancialPlanning, Future Proof is an investment services platform geared towards #FinancialAdvising and #RiskManagement.")</f>
        <v>Focused on goals-based #FinancialPlanning, Future Proof is an investment services platform geared towards #FinancialAdvising and #RiskManagement.</v>
      </c>
      <c r="D62" s="1">
        <f>IFERROR(__xludf.DUMMYFUNCTION("""COMPUTED_VALUE"""),0.0052893840833457)</f>
        <v>0.005289384083</v>
      </c>
      <c r="E62" s="3">
        <f>IFERROR(__xludf.DUMMYFUNCTION("""COMPUTED_VALUE"""),97.0)</f>
        <v>97</v>
      </c>
    </row>
    <row r="63">
      <c r="A63" s="9" t="str">
        <f>IFERROR(__xludf.DUMMYFUNCTION("""COMPUTED_VALUE"""),"Anderson Silva")</f>
        <v>Anderson Silva</v>
      </c>
      <c r="B63" s="1" t="str">
        <f>IFERROR(__xludf.DUMMYFUNCTION("""COMPUTED_VALUE"""),"anderson_crc")</f>
        <v>anderson_crc</v>
      </c>
      <c r="C63" s="1" t="str">
        <f>IFERROR(__xludf.DUMMYFUNCTION("""COMPUTED_VALUE"""),"🇧🇷🇺🇸Em busca de ser uma pessoa melhor. GRATIDÃO SEMPRE. 🙏🏽🦾🙌🏽")</f>
        <v>🇧🇷🇺🇸Em busca de ser uma pessoa melhor. GRATIDÃO SEMPRE. 🙏🏽🦾🙌🏽</v>
      </c>
      <c r="D63" s="1">
        <f>IFERROR(__xludf.DUMMYFUNCTION("""COMPUTED_VALUE"""),0.0052893840833457)</f>
        <v>0.005289384083</v>
      </c>
      <c r="E63" s="3">
        <f>IFERROR(__xludf.DUMMYFUNCTION("""COMPUTED_VALUE"""),244.0)</f>
        <v>244</v>
      </c>
    </row>
    <row r="64">
      <c r="A64" s="9" t="str">
        <f>IFERROR(__xludf.DUMMYFUNCTION("""COMPUTED_VALUE"""),"Alme de Oliveira")</f>
        <v>Alme de Oliveira</v>
      </c>
      <c r="B64" s="1" t="str">
        <f>IFERROR(__xludf.DUMMYFUNCTION("""COMPUTED_VALUE"""),"almepoupa")</f>
        <v>almepoupa</v>
      </c>
      <c r="C64" s="1" t="str">
        <f>IFERROR(__xludf.DUMMYFUNCTION("""COMPUTED_VALUE"""),"Dicas práticas de organização financeira para alcançar seus objetivos e viver bem.")</f>
        <v>Dicas práticas de organização financeira para alcançar seus objetivos e viver bem.</v>
      </c>
      <c r="D64" s="1">
        <f>IFERROR(__xludf.DUMMYFUNCTION("""COMPUTED_VALUE"""),0.0052893840833457)</f>
        <v>0.005289384083</v>
      </c>
      <c r="E64" s="3">
        <f>IFERROR(__xludf.DUMMYFUNCTION("""COMPUTED_VALUE"""),2.0)</f>
        <v>2</v>
      </c>
    </row>
    <row r="65">
      <c r="A65" s="9" t="str">
        <f>IFERROR(__xludf.DUMMYFUNCTION("""COMPUTED_VALUE"""),"FEBRABAN")</f>
        <v>FEBRABAN</v>
      </c>
      <c r="B65" s="1" t="str">
        <f>IFERROR(__xludf.DUMMYFUNCTION("""COMPUTED_VALUE"""),"febraban")</f>
        <v>febraban</v>
      </c>
      <c r="C65" s="1" t="str">
        <f>IFERROR(__xludf.DUMMYFUNCTION("""COMPUTED_VALUE"""),"Twitter oficial da FEBRABAN - Federação Brasileira de Bancos - principal entidade representativa do setor bancário no País.")</f>
        <v>Twitter oficial da FEBRABAN - Federação Brasileira de Bancos - principal entidade representativa do setor bancário no País.</v>
      </c>
      <c r="D65" s="1">
        <f>IFERROR(__xludf.DUMMYFUNCTION("""COMPUTED_VALUE"""),0.0052893840833457)</f>
        <v>0.005289384083</v>
      </c>
      <c r="E65" s="3">
        <f>IFERROR(__xludf.DUMMYFUNCTION("""COMPUTED_VALUE"""),49964.0)</f>
        <v>49964</v>
      </c>
    </row>
    <row r="66">
      <c r="A66" s="9" t="str">
        <f>IFERROR(__xludf.DUMMYFUNCTION("""COMPUTED_VALUE"""),"Bora Falar de Guito")</f>
        <v>Bora Falar de Guito</v>
      </c>
      <c r="B66" s="1" t="str">
        <f>IFERROR(__xludf.DUMMYFUNCTION("""COMPUTED_VALUE"""),"borafalardguito")</f>
        <v>borafalardguito</v>
      </c>
      <c r="C66" s="1" t="str">
        <f>IFERROR(__xludf.DUMMYFUNCTION("""COMPUTED_VALUE"""),"Finanças pessoais, empreendedorismo e investimentos.")</f>
        <v>Finanças pessoais, empreendedorismo e investimentos.</v>
      </c>
      <c r="D66" s="1">
        <f>IFERROR(__xludf.DUMMYFUNCTION("""COMPUTED_VALUE"""),0.0052893840833457)</f>
        <v>0.005289384083</v>
      </c>
      <c r="E66" s="3">
        <f>IFERROR(__xludf.DUMMYFUNCTION("""COMPUTED_VALUE"""),1.0)</f>
        <v>1</v>
      </c>
    </row>
    <row r="67">
      <c r="A67" s="9" t="str">
        <f>IFERROR(__xludf.DUMMYFUNCTION("""COMPUTED_VALUE"""),"Sicoob Fluminense")</f>
        <v>Sicoob Fluminense</v>
      </c>
      <c r="B67" s="1" t="str">
        <f>IFERROR(__xludf.DUMMYFUNCTION("""COMPUTED_VALUE"""),"sicoobfluminen")</f>
        <v>sicoobfluminen</v>
      </c>
      <c r="C67" s="1" t="str">
        <f>IFERROR(__xludf.DUMMYFUNCTION("""COMPUTED_VALUE"""),"Cooperativa de crédito.  
Somos uma Instituição Financeira Cooperativa.
Nossa missão é gerar soluções financeiras adequadas e sustentáveis.")</f>
        <v>Cooperativa de crédito.  
Somos uma Instituição Financeira Cooperativa.
Nossa missão é gerar soluções financeiras adequadas e sustentáveis.</v>
      </c>
      <c r="D67" s="1">
        <f>IFERROR(__xludf.DUMMYFUNCTION("""COMPUTED_VALUE"""),0.0052893840833457)</f>
        <v>0.005289384083</v>
      </c>
      <c r="E67" s="3">
        <f>IFERROR(__xludf.DUMMYFUNCTION("""COMPUTED_VALUE"""),26.0)</f>
        <v>26</v>
      </c>
    </row>
    <row r="68">
      <c r="A68" s="9" t="str">
        <f>IFERROR(__xludf.DUMMYFUNCTION("""COMPUTED_VALUE"""),"Educação Financeira 💰 | 🇲🇿")</f>
        <v>Educação Financeira 💰 | 🇲🇿</v>
      </c>
      <c r="B68" s="1" t="str">
        <f>IFERROR(__xludf.DUMMYFUNCTION("""COMPUTED_VALUE"""),"edufinanceiramz")</f>
        <v>edufinanceiramz</v>
      </c>
      <c r="C68" s="1" t="str">
        <f>IFERROR(__xludf.DUMMYFUNCTION("""COMPUTED_VALUE"""),"🏃🏾‍♂️ • Corra já pelas suas finanças! 
🎯 • Ajudamos-lhe a gerir melhor o seu dinheiro.
🚀 • O 1.º e maior projecto de educação financeira em Moçambique 🇲🇿")</f>
        <v>🏃🏾‍♂️ • Corra já pelas suas finanças! 
🎯 • Ajudamos-lhe a gerir melhor o seu dinheiro.
🚀 • O 1.º e maior projecto de educação financeira em Moçambique 🇲🇿</v>
      </c>
      <c r="D68" s="1">
        <f>IFERROR(__xludf.DUMMYFUNCTION("""COMPUTED_VALUE"""),0.0052893840833457)</f>
        <v>0.005289384083</v>
      </c>
      <c r="E68" s="3">
        <f>IFERROR(__xludf.DUMMYFUNCTION("""COMPUTED_VALUE"""),3.0)</f>
        <v>3</v>
      </c>
    </row>
    <row r="69">
      <c r="A69" s="9" t="str">
        <f>IFERROR(__xludf.DUMMYFUNCTION("""COMPUTED_VALUE"""),"Gabriel Amadi")</f>
        <v>Gabriel Amadi</v>
      </c>
      <c r="B69" s="1" t="str">
        <f>IFERROR(__xludf.DUMMYFUNCTION("""COMPUTED_VALUE"""),"consultoramadii")</f>
        <v>consultoramadii</v>
      </c>
      <c r="C69" s="1" t="str">
        <f>IFERROR(__xludf.DUMMYFUNCTION("""COMPUTED_VALUE"""),"🏦 Gerente Financeiro na Black Promotora
💰 Especialista em soluções financeiras
📈 Ajudando pessoas a alcançarem seus objetivos financeiros
🎓 MBA em Finanças")</f>
        <v>🏦 Gerente Financeiro na Black Promotora
💰 Especialista em soluções financeiras
📈 Ajudando pessoas a alcançarem seus objetivos financeiros
🎓 MBA em Finanças</v>
      </c>
      <c r="D69" s="1">
        <f>IFERROR(__xludf.DUMMYFUNCTION("""COMPUTED_VALUE"""),0.0052893840833457)</f>
        <v>0.005289384083</v>
      </c>
      <c r="E69" s="3">
        <f>IFERROR(__xludf.DUMMYFUNCTION("""COMPUTED_VALUE"""),0.0)</f>
        <v>0</v>
      </c>
    </row>
    <row r="70">
      <c r="A70" s="9" t="str">
        <f>IFERROR(__xludf.DUMMYFUNCTION("""COMPUTED_VALUE"""),"Emanuel Cavalcanti - Assessor de Investimentos")</f>
        <v>Emanuel Cavalcanti - Assessor de Investimentos</v>
      </c>
      <c r="B70" s="1" t="str">
        <f>IFERROR(__xludf.DUMMYFUNCTION("""COMPUTED_VALUE"""),"assessoremanuel")</f>
        <v>assessoremanuel</v>
      </c>
      <c r="C70" s="1" t="str">
        <f>IFERROR(__xludf.DUMMYFUNCTION("""COMPUTED_VALUE"""),"Sócio da Convexa Investimentos, escritório de investimentos contratado pelo Banco BTG Pactual, Maior Banco de Investimentos da América Latina.")</f>
        <v>Sócio da Convexa Investimentos, escritório de investimentos contratado pelo Banco BTG Pactual, Maior Banco de Investimentos da América Latina.</v>
      </c>
      <c r="D70" s="1">
        <f>IFERROR(__xludf.DUMMYFUNCTION("""COMPUTED_VALUE"""),0.0052893840833457)</f>
        <v>0.005289384083</v>
      </c>
      <c r="E70" s="3">
        <f>IFERROR(__xludf.DUMMYFUNCTION("""COMPUTED_VALUE"""),23.0)</f>
        <v>23</v>
      </c>
    </row>
    <row r="71">
      <c r="A71" s="9" t="str">
        <f>IFERROR(__xludf.DUMMYFUNCTION("""COMPUTED_VALUE"""),"Adriano Camenhe")</f>
        <v>Adriano Camenhe</v>
      </c>
      <c r="B71" s="1" t="str">
        <f>IFERROR(__xludf.DUMMYFUNCTION("""COMPUTED_VALUE"""),"adcamenhe")</f>
        <v>adcamenhe</v>
      </c>
      <c r="C71" s="1" t="str">
        <f>IFERROR(__xludf.DUMMYFUNCTION("""COMPUTED_VALUE"""),"Economista📈 Mestrando em Contabilidade, Fiscalidade e Finanças💹Designer há 10 anos🖌️Consultor de Marketing e de Finanças👨‍💼💼 Amo música🎧 e o digital💻")</f>
        <v>Economista📈 Mestrando em Contabilidade, Fiscalidade e Finanças💹Designer há 10 anos🖌️Consultor de Marketing e de Finanças👨‍💼💼 Amo música🎧 e o digital💻</v>
      </c>
      <c r="D71" s="1">
        <f>IFERROR(__xludf.DUMMYFUNCTION("""COMPUTED_VALUE"""),0.0052893840833457)</f>
        <v>0.005289384083</v>
      </c>
      <c r="E71" s="3">
        <f>IFERROR(__xludf.DUMMYFUNCTION("""COMPUTED_VALUE"""),199.0)</f>
        <v>199</v>
      </c>
    </row>
    <row r="72">
      <c r="A72" s="9" t="str">
        <f>IFERROR(__xludf.DUMMYFUNCTION("""COMPUTED_VALUE"""),"Zoom Dinheiro")</f>
        <v>Zoom Dinheiro</v>
      </c>
      <c r="B72" s="1" t="str">
        <f>IFERROR(__xludf.DUMMYFUNCTION("""COMPUTED_VALUE"""),"zoomdinheiro")</f>
        <v>zoomdinheiro</v>
      </c>
      <c r="C72" s="1" t="str">
        <f>IFERROR(__xludf.DUMMYFUNCTION("""COMPUTED_VALUE"""),"Simplificamos sua jornada financeira. Conheça o Zoom Dinheiro e aprenda sobre finanças pessoais, crédito, seguros, contas, investimentos e muito mais.")</f>
        <v>Simplificamos sua jornada financeira. Conheça o Zoom Dinheiro e aprenda sobre finanças pessoais, crédito, seguros, contas, investimentos e muito mais.</v>
      </c>
      <c r="D72" s="1">
        <f>IFERROR(__xludf.DUMMYFUNCTION("""COMPUTED_VALUE"""),0.0052893840833457)</f>
        <v>0.005289384083</v>
      </c>
      <c r="E72" s="3">
        <f>IFERROR(__xludf.DUMMYFUNCTION("""COMPUTED_VALUE"""),2.0)</f>
        <v>2</v>
      </c>
    </row>
    <row r="73">
      <c r="A73" s="9" t="str">
        <f>IFERROR(__xludf.DUMMYFUNCTION("""COMPUTED_VALUE"""),"Podcast Um Papo Qualquer")</f>
        <v>Podcast Um Papo Qualquer</v>
      </c>
      <c r="B73" s="1" t="str">
        <f>IFERROR(__xludf.DUMMYFUNCTION("""COMPUTED_VALUE"""),"umpapoqualquer")</f>
        <v>umpapoqualquer</v>
      </c>
      <c r="C73" s="1" t="str">
        <f>IFERROR(__xludf.DUMMYFUNCTION("""COMPUTED_VALUE"""),"Podcast Um Papo Qualquer... Desde 2017, a voz do UBQ na Podosfera! Conhecimento, opinião e entretenimento para você.")</f>
        <v>Podcast Um Papo Qualquer... Desde 2017, a voz do UBQ na Podosfera! Conhecimento, opinião e entretenimento para você.</v>
      </c>
      <c r="D73" s="1">
        <f>IFERROR(__xludf.DUMMYFUNCTION("""COMPUTED_VALUE"""),0.0052893840833457)</f>
        <v>0.005289384083</v>
      </c>
      <c r="E73" s="3">
        <f>IFERROR(__xludf.DUMMYFUNCTION("""COMPUTED_VALUE"""),144.0)</f>
        <v>144</v>
      </c>
    </row>
    <row r="74">
      <c r="A74" s="9" t="str">
        <f>IFERROR(__xludf.DUMMYFUNCTION("""COMPUTED_VALUE"""),"SYD do SEMEAR")</f>
        <v>SYD do SEMEAR</v>
      </c>
      <c r="B74" s="1" t="str">
        <f>IFERROR(__xludf.DUMMYFUNCTION("""COMPUTED_VALUE"""),"bancosemear")</f>
        <v>bancosemear</v>
      </c>
      <c r="C74" s="1" t="str">
        <f>IFERROR(__xludf.DUMMYFUNCTION("""COMPUTED_VALUE"""),"Existimos para semear relações duradouras e de confiança por meio de uma atuação transparente, acreditando nos valores humanos.")</f>
        <v>Existimos para semear relações duradouras e de confiança por meio de uma atuação transparente, acreditando nos valores humanos.</v>
      </c>
      <c r="D74" s="1">
        <f>IFERROR(__xludf.DUMMYFUNCTION("""COMPUTED_VALUE"""),0.0052893840833457)</f>
        <v>0.005289384083</v>
      </c>
      <c r="E74" s="3">
        <f>IFERROR(__xludf.DUMMYFUNCTION("""COMPUTED_VALUE"""),110.0)</f>
        <v>110</v>
      </c>
    </row>
    <row r="75">
      <c r="A75" s="9" t="str">
        <f>IFERROR(__xludf.DUMMYFUNCTION("""COMPUTED_VALUE"""),"Teófilo Martins")</f>
        <v>Teófilo Martins</v>
      </c>
      <c r="B75" s="1" t="str">
        <f>IFERROR(__xludf.DUMMYFUNCTION("""COMPUTED_VALUE"""),"teofilomartinst")</f>
        <v>teofilomartinst</v>
      </c>
      <c r="C75" s="1" t="str">
        <f>IFERROR(__xludf.DUMMYFUNCTION("""COMPUTED_VALUE"""),"Cripto Tutor
Ajudo qualquer pessoa a compreender o mundo das Criptomoedas
Sessões personalizadas 1:1")</f>
        <v>Cripto Tutor
Ajudo qualquer pessoa a compreender o mundo das Criptomoedas
Sessões personalizadas 1:1</v>
      </c>
      <c r="D75" s="1">
        <f>IFERROR(__xludf.DUMMYFUNCTION("""COMPUTED_VALUE"""),0.0052893840833457)</f>
        <v>0.005289384083</v>
      </c>
      <c r="E75" s="3">
        <f>IFERROR(__xludf.DUMMYFUNCTION("""COMPUTED_VALUE"""),11.0)</f>
        <v>11</v>
      </c>
    </row>
    <row r="76">
      <c r="A76" s="9" t="str">
        <f>IFERROR(__xludf.DUMMYFUNCTION("""COMPUTED_VALUE"""),"Flavia Ribeiro")</f>
        <v>Flavia Ribeiro</v>
      </c>
      <c r="B76" s="1" t="str">
        <f>IFERROR(__xludf.DUMMYFUNCTION("""COMPUTED_VALUE"""),"flavia_pribeiro")</f>
        <v>flavia_pribeiro</v>
      </c>
      <c r="C76" s="1" t="str">
        <f>IFERROR(__xludf.DUMMYFUNCTION("""COMPUTED_VALUE"""),"👸🏾Presidente da OAB Mulher 🦸🏾‍♀️ Assessora Chefe do Jurídico da MãeData Thais Ferreira 👩🏾‍💼Advogada ⚖️ Fundadora do Frente Favela Brasil 🇧🇷")</f>
        <v>👸🏾Presidente da OAB Mulher 🦸🏾‍♀️ Assessora Chefe do Jurídico da MãeData Thais Ferreira 👩🏾‍💼Advogada ⚖️ Fundadora do Frente Favela Brasil 🇧🇷</v>
      </c>
      <c r="D76" s="1">
        <f>IFERROR(__xludf.DUMMYFUNCTION("""COMPUTED_VALUE"""),0.0052893840833457)</f>
        <v>0.005289384083</v>
      </c>
      <c r="E76" s="3">
        <f>IFERROR(__xludf.DUMMYFUNCTION("""COMPUTED_VALUE"""),776.0)</f>
        <v>776</v>
      </c>
    </row>
    <row r="77">
      <c r="A77" s="9" t="str">
        <f>IFERROR(__xludf.DUMMYFUNCTION("""COMPUTED_VALUE"""),"CVM Educacional")</f>
        <v>CVM Educacional</v>
      </c>
      <c r="B77" s="1" t="str">
        <f>IFERROR(__xludf.DUMMYFUNCTION("""COMPUTED_VALUE"""),"cvmeducacional")</f>
        <v>cvmeducacional</v>
      </c>
      <c r="C77" s="1" t="str">
        <f>IFERROR(__xludf.DUMMYFUNCTION("""COMPUTED_VALUE"""),"Este é um canal exclusivamente educacional. Para atendimento individual, acesse o menu Atendimento no site da CVM (https://t.co/aDqo0I6UqJ).")</f>
        <v>Este é um canal exclusivamente educacional. Para atendimento individual, acesse o menu Atendimento no site da CVM (https://t.co/aDqo0I6UqJ).</v>
      </c>
      <c r="D77" s="1">
        <f>IFERROR(__xludf.DUMMYFUNCTION("""COMPUTED_VALUE"""),0.0052893840833457)</f>
        <v>0.005289384083</v>
      </c>
      <c r="E77" s="3">
        <f>IFERROR(__xludf.DUMMYFUNCTION("""COMPUTED_VALUE"""),16202.0)</f>
        <v>16202</v>
      </c>
    </row>
    <row r="78">
      <c r="A78" s="9" t="str">
        <f>IFERROR(__xludf.DUMMYFUNCTION("""COMPUTED_VALUE"""),"Diogo Cavalcante")</f>
        <v>Diogo Cavalcante</v>
      </c>
      <c r="B78" s="1" t="str">
        <f>IFERROR(__xludf.DUMMYFUNCTION("""COMPUTED_VALUE"""),"diogocavalcante")</f>
        <v>diogocavalcante</v>
      </c>
      <c r="C78" s="1"/>
      <c r="D78" s="1">
        <f>IFERROR(__xludf.DUMMYFUNCTION("""COMPUTED_VALUE"""),0.0052893840833457)</f>
        <v>0.005289384083</v>
      </c>
      <c r="E78" s="3">
        <f>IFERROR(__xludf.DUMMYFUNCTION("""COMPUTED_VALUE"""),375.0)</f>
        <v>375</v>
      </c>
    </row>
    <row r="79">
      <c r="A79" s="9" t="str">
        <f>IFERROR(__xludf.DUMMYFUNCTION("""COMPUTED_VALUE"""),"Revista Coletiva")</f>
        <v>Revista Coletiva</v>
      </c>
      <c r="B79" s="1" t="str">
        <f>IFERROR(__xludf.DUMMYFUNCTION("""COMPUTED_VALUE"""),"revistacoletiva")</f>
        <v>revistacoletiva</v>
      </c>
      <c r="C79" s="1" t="str">
        <f>IFERROR(__xludf.DUMMYFUNCTION("""COMPUTED_VALUE"""),"Revista digital de divulgação científica e cultural, editada pela Fundação Joaquim Nabuco (Fundaj). https://t.co/fNxUavVE7F")</f>
        <v>Revista digital de divulgação científica e cultural, editada pela Fundação Joaquim Nabuco (Fundaj). https://t.co/fNxUavVE7F</v>
      </c>
      <c r="D79" s="1">
        <f>IFERROR(__xludf.DUMMYFUNCTION("""COMPUTED_VALUE"""),0.0052893840833457)</f>
        <v>0.005289384083</v>
      </c>
      <c r="E79" s="3">
        <f>IFERROR(__xludf.DUMMYFUNCTION("""COMPUTED_VALUE"""),130.0)</f>
        <v>130</v>
      </c>
    </row>
    <row r="80">
      <c r="A80" s="9" t="str">
        <f>IFERROR(__xludf.DUMMYFUNCTION("""COMPUTED_VALUE"""),"Rafael Costa")</f>
        <v>Rafael Costa</v>
      </c>
      <c r="B80" s="1" t="str">
        <f>IFERROR(__xludf.DUMMYFUNCTION("""COMPUTED_VALUE"""),"rafael__costa__")</f>
        <v>rafael__costa__</v>
      </c>
      <c r="C80" s="1" t="str">
        <f>IFERROR(__xludf.DUMMYFUNCTION("""COMPUTED_VALUE"""),"Conteúdo sobre investimentos no Brasil e exterior")</f>
        <v>Conteúdo sobre investimentos no Brasil e exterior</v>
      </c>
      <c r="D80" s="1">
        <f>IFERROR(__xludf.DUMMYFUNCTION("""COMPUTED_VALUE"""),0.0052893840833457)</f>
        <v>0.005289384083</v>
      </c>
      <c r="E80" s="3">
        <f>IFERROR(__xludf.DUMMYFUNCTION("""COMPUTED_VALUE"""),125.0)</f>
        <v>125</v>
      </c>
    </row>
    <row r="81">
      <c r="A81" s="9" t="str">
        <f>IFERROR(__xludf.DUMMYFUNCTION("""COMPUTED_VALUE"""),"tiagokeiler")</f>
        <v>tiagokeiler</v>
      </c>
      <c r="B81" s="1" t="str">
        <f>IFERROR(__xludf.DUMMYFUNCTION("""COMPUTED_VALUE"""),"tiagokeilerr")</f>
        <v>tiagokeilerr</v>
      </c>
      <c r="C81" s="1" t="str">
        <f>IFERROR(__xludf.DUMMYFUNCTION("""COMPUTED_VALUE"""),"Investidor 📊")</f>
        <v>Investidor 📊</v>
      </c>
      <c r="D81" s="1">
        <f>IFERROR(__xludf.DUMMYFUNCTION("""COMPUTED_VALUE"""),0.0052893840833457)</f>
        <v>0.005289384083</v>
      </c>
      <c r="E81" s="3">
        <f>IFERROR(__xludf.DUMMYFUNCTION("""COMPUTED_VALUE"""),7.0)</f>
        <v>7</v>
      </c>
    </row>
    <row r="82">
      <c r="A82" s="9" t="str">
        <f>IFERROR(__xludf.DUMMYFUNCTION("""COMPUTED_VALUE"""),"Receita Federal")</f>
        <v>Receita Federal</v>
      </c>
      <c r="B82" s="1" t="str">
        <f>IFERROR(__xludf.DUMMYFUNCTION("""COMPUTED_VALUE"""),"receitafederal")</f>
        <v>receitafederal</v>
      </c>
      <c r="C82" s="1" t="str">
        <f>IFERROR(__xludf.DUMMYFUNCTION("""COMPUTED_VALUE"""),"Atuamos com o objetivo de prover o Estado de recursos para garantir o bem-estar social.")</f>
        <v>Atuamos com o objetivo de prover o Estado de recursos para garantir o bem-estar social.</v>
      </c>
      <c r="D82" s="1">
        <f>IFERROR(__xludf.DUMMYFUNCTION("""COMPUTED_VALUE"""),0.0052893840833457)</f>
        <v>0.005289384083</v>
      </c>
      <c r="E82" s="3">
        <f>IFERROR(__xludf.DUMMYFUNCTION("""COMPUTED_VALUE"""),374947.0)</f>
        <v>374947</v>
      </c>
    </row>
    <row r="83">
      <c r="A83" s="9" t="str">
        <f>IFERROR(__xludf.DUMMYFUNCTION("""COMPUTED_VALUE"""),"Manoel Ferreira de Vasconcellos Del Piero Rodrigue")</f>
        <v>Manoel Ferreira de Vasconcellos Del Piero Rodrigue</v>
      </c>
      <c r="B83" s="1" t="str">
        <f>IFERROR(__xludf.DUMMYFUNCTION("""COMPUTED_VALUE"""),"manoeldelpiero")</f>
        <v>manoeldelpiero</v>
      </c>
      <c r="C83" s="1"/>
      <c r="D83" s="1">
        <f>IFERROR(__xludf.DUMMYFUNCTION("""COMPUTED_VALUE"""),0.0052893840833457)</f>
        <v>0.005289384083</v>
      </c>
      <c r="E83" s="3">
        <f>IFERROR(__xludf.DUMMYFUNCTION("""COMPUTED_VALUE"""),23.0)</f>
        <v>23</v>
      </c>
    </row>
    <row r="84">
      <c r="A84" s="9" t="str">
        <f>IFERROR(__xludf.DUMMYFUNCTION("""COMPUTED_VALUE"""),"Wesley Advogado")</f>
        <v>Wesley Advogado</v>
      </c>
      <c r="B84" s="1" t="str">
        <f>IFERROR(__xludf.DUMMYFUNCTION("""COMPUTED_VALUE"""),"adv_wesleycesar")</f>
        <v>adv_wesleycesar</v>
      </c>
      <c r="C84" s="1" t="str">
        <f>IFERROR(__xludf.DUMMYFUNCTION("""COMPUTED_VALUE"""),"A ética é um valor fundamental em todas as minhas atividades.")</f>
        <v>A ética é um valor fundamental em todas as minhas atividades.</v>
      </c>
      <c r="D84" s="1">
        <f>IFERROR(__xludf.DUMMYFUNCTION("""COMPUTED_VALUE"""),0.0052893840833457)</f>
        <v>0.005289384083</v>
      </c>
      <c r="E84" s="3">
        <f>IFERROR(__xludf.DUMMYFUNCTION("""COMPUTED_VALUE"""),272.0)</f>
        <v>272</v>
      </c>
    </row>
    <row r="85">
      <c r="A85" s="9" t="str">
        <f>IFERROR(__xludf.DUMMYFUNCTION("""COMPUTED_VALUE"""),"bragaeconomics")</f>
        <v>bragaeconomics</v>
      </c>
      <c r="B85" s="1" t="str">
        <f>IFERROR(__xludf.DUMMYFUNCTION("""COMPUTED_VALUE"""),"bragaeconomics")</f>
        <v>bragaeconomics</v>
      </c>
      <c r="C85" s="1" t="str">
        <f>IFERROR(__xludf.DUMMYFUNCTION("""COMPUTED_VALUE"""),"Perfil que traz conteúdo educativo, sobre educação financeira; investimentos; e assuntos importantes da economia.
#bragaeconomics")</f>
        <v>Perfil que traz conteúdo educativo, sobre educação financeira; investimentos; e assuntos importantes da economia.
#bragaeconomics</v>
      </c>
      <c r="D85" s="1">
        <f>IFERROR(__xludf.DUMMYFUNCTION("""COMPUTED_VALUE"""),0.0052893840833457)</f>
        <v>0.005289384083</v>
      </c>
      <c r="E85" s="3">
        <f>IFERROR(__xludf.DUMMYFUNCTION("""COMPUTED_VALUE"""),6.0)</f>
        <v>6</v>
      </c>
    </row>
    <row r="86">
      <c r="A86" s="9" t="str">
        <f>IFERROR(__xludf.DUMMYFUNCTION("""COMPUTED_VALUE"""),"Pravaler")</f>
        <v>Pravaler</v>
      </c>
      <c r="B86" s="1" t="str">
        <f>IFERROR(__xludf.DUMMYFUNCTION("""COMPUTED_VALUE"""),"pravaler")</f>
        <v>pravaler</v>
      </c>
      <c r="C86" s="1" t="str">
        <f>IFERROR(__xludf.DUMMYFUNCTION("""COMPUTED_VALUE"""),"Financie sua faculdade, acumule com bolsa e pague menos por mês!")</f>
        <v>Financie sua faculdade, acumule com bolsa e pague menos por mês!</v>
      </c>
      <c r="D86" s="1">
        <f>IFERROR(__xludf.DUMMYFUNCTION("""COMPUTED_VALUE"""),0.0052893840833457)</f>
        <v>0.005289384083</v>
      </c>
      <c r="E86" s="3">
        <f>IFERROR(__xludf.DUMMYFUNCTION("""COMPUTED_VALUE"""),3712.0)</f>
        <v>3712</v>
      </c>
    </row>
    <row r="87">
      <c r="A87" s="9" t="str">
        <f>IFERROR(__xludf.DUMMYFUNCTION("""COMPUTED_VALUE"""),"Resumo de Livros")</f>
        <v>Resumo de Livros</v>
      </c>
      <c r="B87" s="1" t="str">
        <f>IFERROR(__xludf.DUMMYFUNCTION("""COMPUTED_VALUE"""),"livrosemresumo")</f>
        <v>livrosemresumo</v>
      </c>
      <c r="C87" s="1" t="str">
        <f>IFERROR(__xludf.DUMMYFUNCTION("""COMPUTED_VALUE"""),"Resumos literários para sua dose rápida de conhecimento e aventura. 📚✨")</f>
        <v>Resumos literários para sua dose rápida de conhecimento e aventura. 📚✨</v>
      </c>
      <c r="D87" s="1">
        <f>IFERROR(__xludf.DUMMYFUNCTION("""COMPUTED_VALUE"""),0.0052893840833457)</f>
        <v>0.005289384083</v>
      </c>
      <c r="E87" s="3">
        <f>IFERROR(__xludf.DUMMYFUNCTION("""COMPUTED_VALUE"""),0.0)</f>
        <v>0</v>
      </c>
    </row>
    <row r="88">
      <c r="A88" s="24" t="str">
        <f>IFERROR(__xludf.DUMMYFUNCTION("""COMPUTED_VALUE"""),"iVipCoin")</f>
        <v>iVipCoin</v>
      </c>
      <c r="B88" s="1" t="str">
        <f>IFERROR(__xludf.DUMMYFUNCTION("""COMPUTED_VALUE"""),"ivipcoin")</f>
        <v>ivipcoin</v>
      </c>
      <c r="C88" s="1" t="str">
        <f>IFERROR(__xludf.DUMMYFUNCTION("""COMPUTED_VALUE"""),"Token with the aim of treating each trader in a unique way and bringing everything he needs and needs in the financial market. Come be a part, be iVip.")</f>
        <v>Token with the aim of treating each trader in a unique way and bringing everything he needs and needs in the financial market. Come be a part, be iVip.</v>
      </c>
      <c r="D88" s="1">
        <f>IFERROR(__xludf.DUMMYFUNCTION("""COMPUTED_VALUE"""),0.0052893840833457)</f>
        <v>0.005289384083</v>
      </c>
      <c r="E88" s="3">
        <f>IFERROR(__xludf.DUMMYFUNCTION("""COMPUTED_VALUE"""),2631.0)</f>
        <v>2631</v>
      </c>
    </row>
    <row r="89">
      <c r="A89" s="9" t="str">
        <f>IFERROR(__xludf.DUMMYFUNCTION("""COMPUTED_VALUE"""),"Victor Hugo Garcia")</f>
        <v>Victor Hugo Garcia</v>
      </c>
      <c r="B89" s="1" t="str">
        <f>IFERROR(__xludf.DUMMYFUNCTION("""COMPUTED_VALUE"""),"realvictorhugog")</f>
        <v>realvictorhugog</v>
      </c>
      <c r="C89" s="1"/>
      <c r="D89" s="1">
        <f>IFERROR(__xludf.DUMMYFUNCTION("""COMPUTED_VALUE"""),0.0052893840833457)</f>
        <v>0.005289384083</v>
      </c>
      <c r="E89" s="3">
        <f>IFERROR(__xludf.DUMMYFUNCTION("""COMPUTED_VALUE"""),0.0)</f>
        <v>0</v>
      </c>
    </row>
    <row r="90">
      <c r="A90" s="9" t="str">
        <f>IFERROR(__xludf.DUMMYFUNCTION("""COMPUTED_VALUE"""),"Vinco Exchange")</f>
        <v>Vinco Exchange</v>
      </c>
      <c r="B90" s="1" t="str">
        <f>IFERROR(__xludf.DUMMYFUNCTION("""COMPUTED_VALUE"""),"vincopontovc")</f>
        <v>vincopontovc</v>
      </c>
      <c r="C90" s="1" t="str">
        <f>IFERROR(__xludf.DUMMYFUNCTION("""COMPUTED_VALUE"""),"VINCO é a plataforma que une educação e investimentos em criptoativos. Feito para investidores de todos os níveis! #VINCO")</f>
        <v>VINCO é a plataforma que une educação e investimentos em criptoativos. Feito para investidores de todos os níveis! #VINCO</v>
      </c>
      <c r="D90" s="1">
        <f>IFERROR(__xludf.DUMMYFUNCTION("""COMPUTED_VALUE"""),0.0052893840833457)</f>
        <v>0.005289384083</v>
      </c>
      <c r="E90" s="3">
        <f>IFERROR(__xludf.DUMMYFUNCTION("""COMPUTED_VALUE"""),188.0)</f>
        <v>188</v>
      </c>
    </row>
    <row r="91">
      <c r="A91" s="9" t="str">
        <f>IFERROR(__xludf.DUMMYFUNCTION("""COMPUTED_VALUE"""),"economedicos")</f>
        <v>economedicos</v>
      </c>
      <c r="B91" s="1" t="str">
        <f>IFERROR(__xludf.DUMMYFUNCTION("""COMPUTED_VALUE"""),"economedicos")</f>
        <v>economedicos</v>
      </c>
      <c r="C91" s="1" t="str">
        <f>IFERROR(__xludf.DUMMYFUNCTION("""COMPUTED_VALUE"""),"Dois amigos, dois médicos, investindo em renda variável em busca da liberdade financeira!")</f>
        <v>Dois amigos, dois médicos, investindo em renda variável em busca da liberdade financeira!</v>
      </c>
      <c r="D91" s="1">
        <f>IFERROR(__xludf.DUMMYFUNCTION("""COMPUTED_VALUE"""),0.0052893840833457)</f>
        <v>0.005289384083</v>
      </c>
      <c r="E91" s="3">
        <f>IFERROR(__xludf.DUMMYFUNCTION("""COMPUTED_VALUE"""),35.0)</f>
        <v>35</v>
      </c>
    </row>
    <row r="92">
      <c r="A92" s="9" t="str">
        <f>IFERROR(__xludf.DUMMYFUNCTION("""COMPUTED_VALUE"""),"Resultados Sustentaveis 🌎")</f>
        <v>Resultados Sustentaveis 🌎</v>
      </c>
      <c r="B92" s="1" t="str">
        <f>IFERROR(__xludf.DUMMYFUNCTION("""COMPUTED_VALUE"""),"resultadossus")</f>
        <v>resultadossus</v>
      </c>
      <c r="C92" s="1" t="str">
        <f>IFERROR(__xludf.DUMMYFUNCTION("""COMPUTED_VALUE"""),"""🌍 Impulsionando a transformação sustentável nas organizações. 🌱 Especialistas em ESG, B Corp e ODS da ONU. 💡 Fornecemos soluções tecnológicas, análise de da")</f>
        <v>"🌍 Impulsionando a transformação sustentável nas organizações. 🌱 Especialistas em ESG, B Corp e ODS da ONU. 💡 Fornecemos soluções tecnológicas, análise de da</v>
      </c>
      <c r="D92" s="1">
        <f>IFERROR(__xludf.DUMMYFUNCTION("""COMPUTED_VALUE"""),0.0052893840833457)</f>
        <v>0.005289384083</v>
      </c>
      <c r="E92" s="3">
        <f>IFERROR(__xludf.DUMMYFUNCTION("""COMPUTED_VALUE"""),7.0)</f>
        <v>7</v>
      </c>
    </row>
    <row r="93">
      <c r="A93" s="9" t="str">
        <f>IFERROR(__xludf.DUMMYFUNCTION("""COMPUTED_VALUE"""),"Isleno Araújo, CFP®")</f>
        <v>Isleno Araújo, CFP®</v>
      </c>
      <c r="B93" s="1" t="str">
        <f>IFERROR(__xludf.DUMMYFUNCTION("""COMPUTED_VALUE"""),"islenoaraujo")</f>
        <v>islenoaraujo</v>
      </c>
      <c r="C93" s="1" t="str">
        <f>IFERROR(__xludf.DUMMYFUNCTION("""COMPUTED_VALUE"""),"Academia de Administração 👨🏻‍🎓| Católico ⛪ | Mercado Financeiro 📈| Certificado ANBIMA - CPA 20 | CEA | CFP®")</f>
        <v>Academia de Administração 👨🏻‍🎓| Católico ⛪ | Mercado Financeiro 📈| Certificado ANBIMA - CPA 20 | CEA | CFP®</v>
      </c>
      <c r="D93" s="1">
        <f>IFERROR(__xludf.DUMMYFUNCTION("""COMPUTED_VALUE"""),0.0052893840833457)</f>
        <v>0.005289384083</v>
      </c>
      <c r="E93" s="3">
        <f>IFERROR(__xludf.DUMMYFUNCTION("""COMPUTED_VALUE"""),389.0)</f>
        <v>389</v>
      </c>
    </row>
    <row r="94">
      <c r="A94" s="9" t="str">
        <f>IFERROR(__xludf.DUMMYFUNCTION("""COMPUTED_VALUE"""),"Daniel Souza")</f>
        <v>Daniel Souza</v>
      </c>
      <c r="B94" s="1" t="str">
        <f>IFERROR(__xludf.DUMMYFUNCTION("""COMPUTED_VALUE"""),"danielsouzafp")</f>
        <v>danielsouzafp</v>
      </c>
      <c r="C94" s="1" t="str">
        <f>IFERROR(__xludf.DUMMYFUNCTION("""COMPUTED_VALUE"""),"Investidor desde 2006. Deixei um concurso público para viver meu sonho 🗽Escritor e Mestre em Finanças. Insta: @financaspessoais YouTube: Finanças Pessoais")</f>
        <v>Investidor desde 2006. Deixei um concurso público para viver meu sonho 🗽Escritor e Mestre em Finanças. Insta: @financaspessoais YouTube: Finanças Pessoais</v>
      </c>
      <c r="D94" s="1">
        <f>IFERROR(__xludf.DUMMYFUNCTION("""COMPUTED_VALUE"""),0.0052893840833457)</f>
        <v>0.005289384083</v>
      </c>
      <c r="E94" s="3">
        <f>IFERROR(__xludf.DUMMYFUNCTION("""COMPUTED_VALUE"""),62.0)</f>
        <v>62</v>
      </c>
    </row>
    <row r="95">
      <c r="A95" s="9" t="str">
        <f>IFERROR(__xludf.DUMMYFUNCTION("""COMPUTED_VALUE"""),"Investo")</f>
        <v>Investo</v>
      </c>
      <c r="B95" s="1" t="str">
        <f>IFERROR(__xludf.DUMMYFUNCTION("""COMPUTED_VALUE"""),"investoetf")</f>
        <v>investoetf</v>
      </c>
      <c r="C95" s="1" t="str">
        <f>IFERROR(__xludf.DUMMYFUNCTION("""COMPUTED_VALUE"""),"Somos a primeira gestora independente do Brasil focada em #ETFs. E queremos tornar o brasileiro um investidor global🌎 #ETFs #USTK11")</f>
        <v>Somos a primeira gestora independente do Brasil focada em #ETFs. E queremos tornar o brasileiro um investidor global🌎 #ETFs #USTK11</v>
      </c>
      <c r="D95" s="1">
        <f>IFERROR(__xludf.DUMMYFUNCTION("""COMPUTED_VALUE"""),0.0052893840833457)</f>
        <v>0.005289384083</v>
      </c>
      <c r="E95" s="3">
        <f>IFERROR(__xludf.DUMMYFUNCTION("""COMPUTED_VALUE"""),327.0)</f>
        <v>327</v>
      </c>
    </row>
    <row r="96">
      <c r="A96" s="9" t="str">
        <f>IFERROR(__xludf.DUMMYFUNCTION("""COMPUTED_VALUE"""),"Luís Fernando Gomes Diniz")</f>
        <v>Luís Fernando Gomes Diniz</v>
      </c>
      <c r="B96" s="1" t="str">
        <f>IFERROR(__xludf.DUMMYFUNCTION("""COMPUTED_VALUE"""),"euluisconsultor")</f>
        <v>euluisconsultor</v>
      </c>
      <c r="C96" s="1" t="str">
        <f>IFERROR(__xludf.DUMMYFUNCTION("""COMPUTED_VALUE"""),"▪️Especializado em ajudar pessoas a cuidar de sua vida financeira de forma personalizada. 📈▪️
▫️ Trazendo soluções além do dinheiro para sua vida🔑 ▫️")</f>
        <v>▪️Especializado em ajudar pessoas a cuidar de sua vida financeira de forma personalizada. 📈▪️
▫️ Trazendo soluções além do dinheiro para sua vida🔑 ▫️</v>
      </c>
      <c r="D96" s="1">
        <f>IFERROR(__xludf.DUMMYFUNCTION("""COMPUTED_VALUE"""),0.0052893840833457)</f>
        <v>0.005289384083</v>
      </c>
      <c r="E96" s="3">
        <f>IFERROR(__xludf.DUMMYFUNCTION("""COMPUTED_VALUE"""),1.0)</f>
        <v>1</v>
      </c>
    </row>
    <row r="97">
      <c r="A97" s="9" t="str">
        <f>IFERROR(__xludf.DUMMYFUNCTION("""COMPUTED_VALUE"""),"João Ulisses")</f>
        <v>João Ulisses</v>
      </c>
      <c r="B97" s="1" t="str">
        <f>IFERROR(__xludf.DUMMYFUNCTION("""COMPUTED_VALUE"""),"ojoaoulisses")</f>
        <v>ojoaoulisses</v>
      </c>
      <c r="C97" s="1" t="str">
        <f>IFERROR(__xludf.DUMMYFUNCTION("""COMPUTED_VALUE"""),"Investidor, Torcedor do São Paulo e Nerd nas horas vagas | Bora aprender mais sobre investimentos!")</f>
        <v>Investidor, Torcedor do São Paulo e Nerd nas horas vagas | Bora aprender mais sobre investimentos!</v>
      </c>
      <c r="D97" s="1">
        <f>IFERROR(__xludf.DUMMYFUNCTION("""COMPUTED_VALUE"""),0.0052893840833457)</f>
        <v>0.005289384083</v>
      </c>
      <c r="E97" s="3">
        <f>IFERROR(__xludf.DUMMYFUNCTION("""COMPUTED_VALUE"""),18.0)</f>
        <v>18</v>
      </c>
    </row>
    <row r="98">
      <c r="A98" s="9" t="str">
        <f>IFERROR(__xludf.DUMMYFUNCTION("""COMPUTED_VALUE"""),"André Werneck")</f>
        <v>André Werneck</v>
      </c>
      <c r="B98" s="1" t="str">
        <f>IFERROR(__xludf.DUMMYFUNCTION("""COMPUTED_VALUE"""),"andrewerneck_")</f>
        <v>andrewerneck_</v>
      </c>
      <c r="C98" s="1" t="str">
        <f>IFERROR(__xludf.DUMMYFUNCTION("""COMPUTED_VALUE"""),"Educador e consultor financeiro Techfinance")</f>
        <v>Educador e consultor financeiro Techfinance</v>
      </c>
      <c r="D98" s="1">
        <f>IFERROR(__xludf.DUMMYFUNCTION("""COMPUTED_VALUE"""),0.0052893840833457)</f>
        <v>0.005289384083</v>
      </c>
      <c r="E98" s="3">
        <f>IFERROR(__xludf.DUMMYFUNCTION("""COMPUTED_VALUE"""),1.0)</f>
        <v>1</v>
      </c>
    </row>
    <row r="99">
      <c r="A99" s="9" t="str">
        <f>IFERROR(__xludf.DUMMYFUNCTION("""COMPUTED_VALUE"""),"Thiago Budni")</f>
        <v>Thiago Budni</v>
      </c>
      <c r="B99" s="1" t="str">
        <f>IFERROR(__xludf.DUMMYFUNCTION("""COMPUTED_VALUE"""),"thiagobudni")</f>
        <v>thiagobudni</v>
      </c>
      <c r="C99" s="1" t="str">
        <f>IFERROR(__xludf.DUMMYFUNCTION("""COMPUTED_VALUE"""),"📚 Sapere Aude
👨🏼‍💼 Assessor de Investimentos
🏢 Nortus Investimentos - XP")</f>
        <v>📚 Sapere Aude
👨🏼‍💼 Assessor de Investimentos
🏢 Nortus Investimentos - XP</v>
      </c>
      <c r="D99" s="1">
        <f>IFERROR(__xludf.DUMMYFUNCTION("""COMPUTED_VALUE"""),0.0052893840833457)</f>
        <v>0.005289384083</v>
      </c>
      <c r="E99" s="3">
        <f>IFERROR(__xludf.DUMMYFUNCTION("""COMPUTED_VALUE"""),83.0)</f>
        <v>83</v>
      </c>
    </row>
    <row r="100">
      <c r="A100" s="9" t="str">
        <f>IFERROR(__xludf.DUMMYFUNCTION("""COMPUTED_VALUE"""),"Educando Seu Bolso")</f>
        <v>Educando Seu Bolso</v>
      </c>
      <c r="B100" s="1" t="str">
        <f>IFERROR(__xludf.DUMMYFUNCTION("""COMPUTED_VALUE"""),"educandoseubols")</f>
        <v>educandoseubols</v>
      </c>
      <c r="C100" s="1" t="str">
        <f>IFERROR(__xludf.DUMMYFUNCTION("""COMPUTED_VALUE"""),"Conheça nossos podcasts, rankings, reviews, atendimento e calculadoras gratuitas. Além dos cursos e livro sobre finanças pessoais. Tudo sem financês! 👇")</f>
        <v>Conheça nossos podcasts, rankings, reviews, atendimento e calculadoras gratuitas. Além dos cursos e livro sobre finanças pessoais. Tudo sem financês! 👇</v>
      </c>
      <c r="D100" s="1">
        <f>IFERROR(__xludf.DUMMYFUNCTION("""COMPUTED_VALUE"""),0.0052893840833457)</f>
        <v>0.005289384083</v>
      </c>
      <c r="E100" s="3">
        <f>IFERROR(__xludf.DUMMYFUNCTION("""COMPUTED_VALUE"""),246.0)</f>
        <v>246</v>
      </c>
    </row>
    <row r="101">
      <c r="A101" s="24" t="str">
        <f>IFERROR(__xludf.DUMMYFUNCTION("""COMPUTED_VALUE"""),"Tainara Follmann")</f>
        <v>Tainara Follmann</v>
      </c>
      <c r="B101" s="1" t="str">
        <f>IFERROR(__xludf.DUMMYFUNCTION("""COMPUTED_VALUE"""),"tai_follmann")</f>
        <v>tai_follmann</v>
      </c>
      <c r="C101" s="1" t="str">
        <f>IFERROR(__xludf.DUMMYFUNCTION("""COMPUTED_VALUE"""),"Uma colorada apaixonada
Especialista em Gestão Comercial e Marketing Digital
CEO: Sincronizze Marketing Digital
Instagram: taifollmann")</f>
        <v>Uma colorada apaixonada
Especialista em Gestão Comercial e Marketing Digital
CEO: Sincronizze Marketing Digital
Instagram: taifollmann</v>
      </c>
      <c r="D101" s="1">
        <f>IFERROR(__xludf.DUMMYFUNCTION("""COMPUTED_VALUE"""),0.0052893840833457)</f>
        <v>0.005289384083</v>
      </c>
      <c r="E101" s="3">
        <f>IFERROR(__xludf.DUMMYFUNCTION("""COMPUTED_VALUE"""),13398.0)</f>
        <v>13398</v>
      </c>
    </row>
    <row r="102">
      <c r="A102" s="9" t="str">
        <f>IFERROR(__xludf.DUMMYFUNCTION("""COMPUTED_VALUE"""),"lsaias sousa de Melo.")</f>
        <v>lsaias sousa de Melo.</v>
      </c>
      <c r="B102" s="1" t="str">
        <f>IFERROR(__xludf.DUMMYFUNCTION("""COMPUTED_VALUE"""),"_oiisaias")</f>
        <v>_oiisaias</v>
      </c>
      <c r="C102" s="1" t="str">
        <f>IFERROR(__xludf.DUMMYFUNCTION("""COMPUTED_VALUE"""),"O infinito mundo #Administrativo e #organizacional.
Um Estudante de #ADM Focado no que tange o #comportamento humano nas organizações e no desempenho Funcional.")</f>
        <v>O infinito mundo #Administrativo e #organizacional.
Um Estudante de #ADM Focado no que tange o #comportamento humano nas organizações e no desempenho Funcional.</v>
      </c>
      <c r="D102" s="1">
        <f>IFERROR(__xludf.DUMMYFUNCTION("""COMPUTED_VALUE"""),0.0052893840833457)</f>
        <v>0.005289384083</v>
      </c>
      <c r="E102" s="3">
        <f>IFERROR(__xludf.DUMMYFUNCTION("""COMPUTED_VALUE"""),5.0)</f>
        <v>5</v>
      </c>
    </row>
    <row r="103">
      <c r="A103" s="9" t="str">
        <f>IFERROR(__xludf.DUMMYFUNCTION("""COMPUTED_VALUE"""),"Keep Growing")</f>
        <v>Keep Growing</v>
      </c>
      <c r="B103" s="1" t="str">
        <f>IFERROR(__xludf.DUMMYFUNCTION("""COMPUTED_VALUE"""),"keepgrowing_")</f>
        <v>keepgrowing_</v>
      </c>
      <c r="C103" s="1" t="str">
        <f>IFERROR(__xludf.DUMMYFUNCTION("""COMPUTED_VALUE"""),"Você tem o sonho ✨, nós temos o conhecimento💡 para transformá-lo em realidade.
Venha aprender os SEGREDOS do SUCESSO!
Visite nosso site
https://t.co/c6QGORXc0J")</f>
        <v>Você tem o sonho ✨, nós temos o conhecimento💡 para transformá-lo em realidade.
Venha aprender os SEGREDOS do SUCESSO!
Visite nosso site
https://t.co/c6QGORXc0J</v>
      </c>
      <c r="D103" s="1">
        <f>IFERROR(__xludf.DUMMYFUNCTION("""COMPUTED_VALUE"""),0.0052893840833457)</f>
        <v>0.005289384083</v>
      </c>
      <c r="E103" s="3">
        <f>IFERROR(__xludf.DUMMYFUNCTION("""COMPUTED_VALUE"""),10.0)</f>
        <v>10</v>
      </c>
    </row>
    <row r="104">
      <c r="A104" s="9" t="str">
        <f>IFERROR(__xludf.DUMMYFUNCTION("""COMPUTED_VALUE"""),"Paladin 🎖")</f>
        <v>Paladin 🎖</v>
      </c>
      <c r="B104" s="1" t="str">
        <f>IFERROR(__xludf.DUMMYFUNCTION("""COMPUTED_VALUE"""),"paladinrood")</f>
        <v>paladinrood</v>
      </c>
      <c r="C104" s="32" t="str">
        <f>IFERROR(__xludf.DUMMYFUNCTION("""COMPUTED_VALUE"""),"https://t.co/sZb9GKqU6w")</f>
        <v>https://t.co/sZb9GKqU6w</v>
      </c>
      <c r="D104" s="1">
        <f>IFERROR(__xludf.DUMMYFUNCTION("""COMPUTED_VALUE"""),0.0052893840833457)</f>
        <v>0.005289384083</v>
      </c>
      <c r="E104" s="3">
        <f>IFERROR(__xludf.DUMMYFUNCTION("""COMPUTED_VALUE"""),6759.0)</f>
        <v>6759</v>
      </c>
    </row>
    <row r="105">
      <c r="A105" s="9" t="str">
        <f>IFERROR(__xludf.DUMMYFUNCTION("""COMPUTED_VALUE"""),"Otácio Neto")</f>
        <v>Otácio Neto</v>
      </c>
      <c r="B105" s="1" t="str">
        <f>IFERROR(__xludf.DUMMYFUNCTION("""COMPUTED_VALUE"""),"otaciotrader")</f>
        <v>otaciotrader</v>
      </c>
      <c r="C105" s="1" t="str">
        <f>IFERROR(__xludf.DUMMYFUNCTION("""COMPUTED_VALUE"""),"Deus me transformou e eu estou aqui para servir e ajudar o próximo❕")</f>
        <v>Deus me transformou e eu estou aqui para servir e ajudar o próximo❕</v>
      </c>
      <c r="D105" s="1">
        <f>IFERROR(__xludf.DUMMYFUNCTION("""COMPUTED_VALUE"""),0.0052893840833457)</f>
        <v>0.005289384083</v>
      </c>
      <c r="E105" s="3">
        <f>IFERROR(__xludf.DUMMYFUNCTION("""COMPUTED_VALUE"""),148.0)</f>
        <v>148</v>
      </c>
    </row>
    <row r="106">
      <c r="A106" s="9" t="str">
        <f>IFERROR(__xludf.DUMMYFUNCTION("""COMPUTED_VALUE"""),"Marcelo Martino")</f>
        <v>Marcelo Martino</v>
      </c>
      <c r="B106" s="1" t="str">
        <f>IFERROR(__xludf.DUMMYFUNCTION("""COMPUTED_VALUE"""),"marceloamartino")</f>
        <v>marceloamartino</v>
      </c>
      <c r="C106" s="1"/>
      <c r="D106" s="1">
        <f>IFERROR(__xludf.DUMMYFUNCTION("""COMPUTED_VALUE"""),0.0052893840833457)</f>
        <v>0.005289384083</v>
      </c>
      <c r="E106" s="3">
        <f>IFERROR(__xludf.DUMMYFUNCTION("""COMPUTED_VALUE"""),29.0)</f>
        <v>29</v>
      </c>
    </row>
    <row r="107">
      <c r="A107" s="9" t="str">
        <f>IFERROR(__xludf.DUMMYFUNCTION("""COMPUTED_VALUE"""),"Sicoob")</f>
        <v>Sicoob</v>
      </c>
      <c r="B107" s="1" t="str">
        <f>IFERROR(__xludf.DUMMYFUNCTION("""COMPUTED_VALUE"""),"sicoob")</f>
        <v>sicoob</v>
      </c>
      <c r="C107" s="1" t="str">
        <f>IFERROR(__xludf.DUMMYFUNCTION("""COMPUTED_VALUE"""),"Fazer mais que uma escolha financeira é decidir crescer junto, transformando a vida de pessoas por todo o Brasil. Abra a sua conta e venha ser dono. 💚")</f>
        <v>Fazer mais que uma escolha financeira é decidir crescer junto, transformando a vida de pessoas por todo o Brasil. Abra a sua conta e venha ser dono. 💚</v>
      </c>
      <c r="D107" s="1">
        <f>IFERROR(__xludf.DUMMYFUNCTION("""COMPUTED_VALUE"""),0.0052893840833457)</f>
        <v>0.005289384083</v>
      </c>
      <c r="E107" s="3">
        <f>IFERROR(__xludf.DUMMYFUNCTION("""COMPUTED_VALUE"""),51866.0)</f>
        <v>51866</v>
      </c>
    </row>
    <row r="108">
      <c r="A108" s="9" t="str">
        <f>IFERROR(__xludf.DUMMYFUNCTION("""COMPUTED_VALUE"""),"Potiguar.eth")</f>
        <v>Potiguar.eth</v>
      </c>
      <c r="B108" s="1" t="str">
        <f>IFERROR(__xludf.DUMMYFUNCTION("""COMPUTED_VALUE"""),"dompotiguaroct")</f>
        <v>dompotiguaroct</v>
      </c>
      <c r="C108" s="1" t="str">
        <f>IFERROR(__xludf.DUMMYFUNCTION("""COMPUTED_VALUE"""),"Cavaleiro da Ordem da Torre, do Mérito Civil e Militar, do Valor Artístico e Tecnológico.")</f>
        <v>Cavaleiro da Ordem da Torre, do Mérito Civil e Militar, do Valor Artístico e Tecnológico.</v>
      </c>
      <c r="D108" s="1">
        <f>IFERROR(__xludf.DUMMYFUNCTION("""COMPUTED_VALUE"""),0.0052893840833457)</f>
        <v>0.005289384083</v>
      </c>
      <c r="E108" s="3">
        <f>IFERROR(__xludf.DUMMYFUNCTION("""COMPUTED_VALUE"""),127.0)</f>
        <v>127</v>
      </c>
    </row>
    <row r="109">
      <c r="A109" s="9" t="str">
        <f>IFERROR(__xludf.DUMMYFUNCTION("""COMPUTED_VALUE"""),"Flávio Napoleão")</f>
        <v>Flávio Napoleão</v>
      </c>
      <c r="B109" s="1" t="str">
        <f>IFERROR(__xludf.DUMMYFUNCTION("""COMPUTED_VALUE"""),"napoleaoadv")</f>
        <v>napoleaoadv</v>
      </c>
      <c r="C109" s="1" t="str">
        <f>IFERROR(__xludf.DUMMYFUNCTION("""COMPUTED_VALUE"""),"Lawyer | CertiProf LGPDF Certified | Former Software Developer| Blockchain Enthusiast | Estonian e-Resident | Homeschooler | Kitesurfing &amp; Scuba Diving")</f>
        <v>Lawyer | CertiProf LGPDF Certified | Former Software Developer| Blockchain Enthusiast | Estonian e-Resident | Homeschooler | Kitesurfing &amp; Scuba Diving</v>
      </c>
      <c r="D109" s="1">
        <f>IFERROR(__xludf.DUMMYFUNCTION("""COMPUTED_VALUE"""),0.0052893840833457)</f>
        <v>0.005289384083</v>
      </c>
      <c r="E109" s="3">
        <f>IFERROR(__xludf.DUMMYFUNCTION("""COMPUTED_VALUE"""),98.0)</f>
        <v>98</v>
      </c>
    </row>
    <row r="110">
      <c r="A110" s="9" t="str">
        <f>IFERROR(__xludf.DUMMYFUNCTION("""COMPUTED_VALUE"""),"Achados de Marketing")</f>
        <v>Achados de Marketing</v>
      </c>
      <c r="B110" s="1" t="str">
        <f>IFERROR(__xludf.DUMMYFUNCTION("""COMPUTED_VALUE"""),"achadosdomark")</f>
        <v>achadosdomark</v>
      </c>
      <c r="C110" s="1" t="str">
        <f>IFERROR(__xludf.DUMMYFUNCTION("""COMPUTED_VALUE"""),"Somos uma empresa voltada para o marketing digital. Foco em divulgar produtos que serão de utilidade")</f>
        <v>Somos uma empresa voltada para o marketing digital. Foco em divulgar produtos que serão de utilidade</v>
      </c>
      <c r="D110" s="1">
        <f>IFERROR(__xludf.DUMMYFUNCTION("""COMPUTED_VALUE"""),0.0052893840833457)</f>
        <v>0.005289384083</v>
      </c>
      <c r="E110" s="3">
        <f>IFERROR(__xludf.DUMMYFUNCTION("""COMPUTED_VALUE"""),2.0)</f>
        <v>2</v>
      </c>
    </row>
    <row r="111">
      <c r="A111" s="9" t="str">
        <f>IFERROR(__xludf.DUMMYFUNCTION("""COMPUTED_VALUE"""),"Andrey Nousi, CFA")</f>
        <v>Andrey Nousi, CFA</v>
      </c>
      <c r="B111" s="1" t="str">
        <f>IFERROR(__xludf.DUMMYFUNCTION("""COMPUTED_VALUE"""),"andreynousi")</f>
        <v>andreynousi</v>
      </c>
      <c r="C111" s="1" t="str">
        <f>IFERROR(__xludf.DUMMYFUNCTION("""COMPUTED_VALUE"""),"CEO da @nousifinance. Já movimentei bilhões de dólares como Vice-presidente do JPMorgan na Suíça. eBooks de investimentos 👇")</f>
        <v>CEO da @nousifinance. Já movimentei bilhões de dólares como Vice-presidente do JPMorgan na Suíça. eBooks de investimentos 👇</v>
      </c>
      <c r="D111" s="1">
        <f>IFERROR(__xludf.DUMMYFUNCTION("""COMPUTED_VALUE"""),0.0052893840833457)</f>
        <v>0.005289384083</v>
      </c>
      <c r="E111" s="3">
        <f>IFERROR(__xludf.DUMMYFUNCTION("""COMPUTED_VALUE"""),6569.0)</f>
        <v>6569</v>
      </c>
    </row>
    <row r="112">
      <c r="A112" s="9" t="str">
        <f>IFERROR(__xludf.DUMMYFUNCTION("""COMPUTED_VALUE"""),"Rodrigo Sena")</f>
        <v>Rodrigo Sena</v>
      </c>
      <c r="B112" s="1" t="str">
        <f>IFERROR(__xludf.DUMMYFUNCTION("""COMPUTED_VALUE"""),"rodrigo_asena")</f>
        <v>rodrigo_asena</v>
      </c>
      <c r="C112" s="1" t="str">
        <f>IFERROR(__xludf.DUMMYFUNCTION("""COMPUTED_VALUE"""),"Gestor Oil&amp;Gas, Empresário, Observador, Crítico, Ousado, Engenheiro, Pai e Marido. Service Delivery, Educação, Negócios, Finanças, Notícia &amp; Política Global")</f>
        <v>Gestor Oil&amp;Gas, Empresário, Observador, Crítico, Ousado, Engenheiro, Pai e Marido. Service Delivery, Educação, Negócios, Finanças, Notícia &amp; Política Global</v>
      </c>
      <c r="D112" s="1">
        <f>IFERROR(__xludf.DUMMYFUNCTION("""COMPUTED_VALUE"""),0.0052893840833457)</f>
        <v>0.005289384083</v>
      </c>
      <c r="E112" s="3">
        <f>IFERROR(__xludf.DUMMYFUNCTION("""COMPUTED_VALUE"""),1.0)</f>
        <v>1</v>
      </c>
    </row>
    <row r="113">
      <c r="A113" s="24" t="str">
        <f>IFERROR(__xludf.DUMMYFUNCTION("""COMPUTED_VALUE"""),"WibooCria")</f>
        <v>WibooCria</v>
      </c>
      <c r="B113" s="1" t="str">
        <f>IFERROR(__xludf.DUMMYFUNCTION("""COMPUTED_VALUE"""),"wiboocria_")</f>
        <v>wiboocria_</v>
      </c>
      <c r="C113" s="1" t="str">
        <f>IFERROR(__xludf.DUMMYFUNCTION("""COMPUTED_VALUE"""),"A company specializing in Web3 solutions, with blockchain technology proficiency, focusing on the gaming and music industry retail, and agency markets. 🐸🚀")</f>
        <v>A company specializing in Web3 solutions, with blockchain technology proficiency, focusing on the gaming and music industry retail, and agency markets. 🐸🚀</v>
      </c>
      <c r="D113" s="1">
        <f>IFERROR(__xludf.DUMMYFUNCTION("""COMPUTED_VALUE"""),0.0052893840833457)</f>
        <v>0.005289384083</v>
      </c>
      <c r="E113" s="3">
        <f>IFERROR(__xludf.DUMMYFUNCTION("""COMPUTED_VALUE"""),12386.0)</f>
        <v>12386</v>
      </c>
    </row>
    <row r="114">
      <c r="A114" s="9" t="str">
        <f>IFERROR(__xludf.DUMMYFUNCTION("""COMPUTED_VALUE"""),"American Trading Academy - Brasil | Ricardo")</f>
        <v>American Trading Academy - Brasil | Ricardo</v>
      </c>
      <c r="B114" s="1" t="str">
        <f>IFERROR(__xludf.DUMMYFUNCTION("""COMPUTED_VALUE"""),"ataorienta")</f>
        <v>ataorienta</v>
      </c>
      <c r="C114" s="1" t="str">
        <f>IFERROR(__xludf.DUMMYFUNCTION("""COMPUTED_VALUE"""),"Vença nas Bolsas do Brasil ou dos EUA e conquiste Prosperidade Financeira!  Por Ricardo Vasconcellos, certificado CME Institute, Chicago, EUA.")</f>
        <v>Vença nas Bolsas do Brasil ou dos EUA e conquiste Prosperidade Financeira!  Por Ricardo Vasconcellos, certificado CME Institute, Chicago, EUA.</v>
      </c>
      <c r="D114" s="1">
        <f>IFERROR(__xludf.DUMMYFUNCTION("""COMPUTED_VALUE"""),0.0052893840833457)</f>
        <v>0.005289384083</v>
      </c>
      <c r="E114" s="3">
        <f>IFERROR(__xludf.DUMMYFUNCTION("""COMPUTED_VALUE"""),6.0)</f>
        <v>6</v>
      </c>
    </row>
    <row r="115">
      <c r="A115" s="24" t="str">
        <f>IFERROR(__xludf.DUMMYFUNCTION("""COMPUTED_VALUE"""),"Guerreiras Grenás")</f>
        <v>Guerreiras Grenás</v>
      </c>
      <c r="B115" s="1" t="str">
        <f>IFERROR(__xludf.DUMMYFUNCTION("""COMPUTED_VALUE"""),"guerreirasgrena")</f>
        <v>guerreirasgrena</v>
      </c>
      <c r="C115" s="1" t="str">
        <f>IFERROR(__xludf.DUMMYFUNCTION("""COMPUTED_VALUE"""),"Twitter oficial da equipe de futebol feminino da Associação Ferroviária de Esportes, de Araraquara/SP. Bicampeã Brasileira (2014-2019)e Libertadores (2015-2020)")</f>
        <v>Twitter oficial da equipe de futebol feminino da Associação Ferroviária de Esportes, de Araraquara/SP. Bicampeã Brasileira (2014-2019)e Libertadores (2015-2020)</v>
      </c>
      <c r="D115" s="1">
        <f>IFERROR(__xludf.DUMMYFUNCTION("""COMPUTED_VALUE"""),0.0052893840833457)</f>
        <v>0.005289384083</v>
      </c>
      <c r="E115" s="3">
        <f>IFERROR(__xludf.DUMMYFUNCTION("""COMPUTED_VALUE"""),8510.0)</f>
        <v>8510</v>
      </c>
    </row>
    <row r="116">
      <c r="A116" s="9" t="str">
        <f>IFERROR(__xludf.DUMMYFUNCTION("""COMPUTED_VALUE"""),"Fii News Paper")</f>
        <v>Fii News Paper</v>
      </c>
      <c r="B116" s="1" t="str">
        <f>IFERROR(__xludf.DUMMYFUNCTION("""COMPUTED_VALUE"""),"fiinewspaper")</f>
        <v>fiinewspaper</v>
      </c>
      <c r="C116" s="1" t="str">
        <f>IFERROR(__xludf.DUMMYFUNCTION("""COMPUTED_VALUE"""),"Dados de fundos listados de renda passiva e isentos de imposto na distribuição de rendimentos para pessoa física: #Fii #Fiagro #Fipie #Fiinfra 🤖")</f>
        <v>Dados de fundos listados de renda passiva e isentos de imposto na distribuição de rendimentos para pessoa física: #Fii #Fiagro #Fipie #Fiinfra 🤖</v>
      </c>
      <c r="D116" s="1">
        <f>IFERROR(__xludf.DUMMYFUNCTION("""COMPUTED_VALUE"""),0.0052893840833457)</f>
        <v>0.005289384083</v>
      </c>
      <c r="E116" s="3">
        <f>IFERROR(__xludf.DUMMYFUNCTION("""COMPUTED_VALUE"""),1269.0)</f>
        <v>1269</v>
      </c>
    </row>
    <row r="117">
      <c r="A117" s="9" t="str">
        <f>IFERROR(__xludf.DUMMYFUNCTION("""COMPUTED_VALUE"""),"Felippe Lopes - Analista Financeiro")</f>
        <v>Felippe Lopes - Analista Financeiro</v>
      </c>
      <c r="B117" s="1" t="str">
        <f>IFERROR(__xludf.DUMMYFUNCTION("""COMPUTED_VALUE"""),"felippe_analyst")</f>
        <v>felippe_analyst</v>
      </c>
      <c r="C117" s="1" t="str">
        <f>IFERROR(__xludf.DUMMYFUNCTION("""COMPUTED_VALUE"""),"CEO &amp; Founder
@FslGlobalsa
Apoios da #FSL 
@JPMorgan 
#XP 
#Rico")</f>
        <v>CEO &amp; Founder
@FslGlobalsa
Apoios da #FSL 
@JPMorgan 
#XP 
#Rico</v>
      </c>
      <c r="D117" s="1">
        <f>IFERROR(__xludf.DUMMYFUNCTION("""COMPUTED_VALUE"""),0.0052893840833457)</f>
        <v>0.005289384083</v>
      </c>
      <c r="E117" s="3">
        <f>IFERROR(__xludf.DUMMYFUNCTION("""COMPUTED_VALUE"""),35.0)</f>
        <v>35</v>
      </c>
    </row>
    <row r="118">
      <c r="A118" s="9" t="str">
        <f>IFERROR(__xludf.DUMMYFUNCTION("""COMPUTED_VALUE"""),"CryptoSight")</f>
        <v>CryptoSight</v>
      </c>
      <c r="B118" s="1" t="str">
        <f>IFERROR(__xludf.DUMMYFUNCTION("""COMPUTED_VALUE"""),"cryptosight_")</f>
        <v>cryptosight_</v>
      </c>
      <c r="C118" s="1" t="str">
        <f>IFERROR(__xludf.DUMMYFUNCTION("""COMPUTED_VALUE"""),"Somos uma comunidade com a missão de guiar as pessoas à sua autonomia cripto.")</f>
        <v>Somos uma comunidade com a missão de guiar as pessoas à sua autonomia cripto.</v>
      </c>
      <c r="D118" s="1">
        <f>IFERROR(__xludf.DUMMYFUNCTION("""COMPUTED_VALUE"""),0.0052893840833457)</f>
        <v>0.005289384083</v>
      </c>
      <c r="E118" s="3">
        <f>IFERROR(__xludf.DUMMYFUNCTION("""COMPUTED_VALUE"""),17.0)</f>
        <v>17</v>
      </c>
    </row>
    <row r="119">
      <c r="A119" s="9" t="str">
        <f>IFERROR(__xludf.DUMMYFUNCTION("""COMPUTED_VALUE"""),"Luiz Braga")</f>
        <v>Luiz Braga</v>
      </c>
      <c r="B119" s="1" t="str">
        <f>IFERROR(__xludf.DUMMYFUNCTION("""COMPUTED_VALUE"""),"lafbraga")</f>
        <v>lafbraga</v>
      </c>
      <c r="C119" s="1" t="str">
        <f>IFERROR(__xludf.DUMMYFUNCTION("""COMPUTED_VALUE"""),"🤝 Te ajudo a organizar sua vida financeira de forma simples e estratégica.
📊 Saia das dívidas e gere renda extra com Investimentos.
💻 Acesse nosso site. 👇")</f>
        <v>🤝 Te ajudo a organizar sua vida financeira de forma simples e estratégica.
📊 Saia das dívidas e gere renda extra com Investimentos.
💻 Acesse nosso site. 👇</v>
      </c>
      <c r="D119" s="1">
        <f>IFERROR(__xludf.DUMMYFUNCTION("""COMPUTED_VALUE"""),0.0052893840833457)</f>
        <v>0.005289384083</v>
      </c>
      <c r="E119" s="3">
        <f>IFERROR(__xludf.DUMMYFUNCTION("""COMPUTED_VALUE"""),2119.0)</f>
        <v>2119</v>
      </c>
    </row>
    <row r="120">
      <c r="A120" s="9" t="str">
        <f>IFERROR(__xludf.DUMMYFUNCTION("""COMPUTED_VALUE"""),"Vinícius Amorim")</f>
        <v>Vinícius Amorim</v>
      </c>
      <c r="B120" s="1" t="str">
        <f>IFERROR(__xludf.DUMMYFUNCTION("""COMPUTED_VALUE"""),"viniciusantosa")</f>
        <v>viniciusantosa</v>
      </c>
      <c r="C120" s="1" t="str">
        <f>IFERROR(__xludf.DUMMYFUNCTION("""COMPUTED_VALUE"""),"Educação financeira a essência da construção de uma vida próspera.")</f>
        <v>Educação financeira a essência da construção de uma vida próspera.</v>
      </c>
      <c r="D120" s="1">
        <f>IFERROR(__xludf.DUMMYFUNCTION("""COMPUTED_VALUE"""),0.0052893840833457)</f>
        <v>0.005289384083</v>
      </c>
      <c r="E120" s="3">
        <f>IFERROR(__xludf.DUMMYFUNCTION("""COMPUTED_VALUE"""),10.0)</f>
        <v>10</v>
      </c>
    </row>
    <row r="121">
      <c r="A121" s="9" t="str">
        <f>IFERROR(__xludf.DUMMYFUNCTION("""COMPUTED_VALUE"""),"Romullo Buniziol")</f>
        <v>Romullo Buniziol</v>
      </c>
      <c r="B121" s="1" t="str">
        <f>IFERROR(__xludf.DUMMYFUNCTION("""COMPUTED_VALUE"""),"romulobuniziol")</f>
        <v>romulobuniziol</v>
      </c>
      <c r="C121" s="1" t="str">
        <f>IFERROR(__xludf.DUMMYFUNCTION("""COMPUTED_VALUE"""),"Advogado e investidor.")</f>
        <v>Advogado e investidor.</v>
      </c>
      <c r="D121" s="1">
        <f>IFERROR(__xludf.DUMMYFUNCTION("""COMPUTED_VALUE"""),0.0052893840833457)</f>
        <v>0.005289384083</v>
      </c>
      <c r="E121" s="3">
        <f>IFERROR(__xludf.DUMMYFUNCTION("""COMPUTED_VALUE"""),60.0)</f>
        <v>60</v>
      </c>
    </row>
    <row r="122">
      <c r="A122" s="9" t="str">
        <f>IFERROR(__xludf.DUMMYFUNCTION("""COMPUTED_VALUE"""),"Robson Dionisio")</f>
        <v>Robson Dionisio</v>
      </c>
      <c r="B122" s="1" t="str">
        <f>IFERROR(__xludf.DUMMYFUNCTION("""COMPUTED_VALUE"""),"robsondionisio1")</f>
        <v>robsondionisio1</v>
      </c>
      <c r="C122" s="1" t="str">
        <f>IFERROR(__xludf.DUMMYFUNCTION("""COMPUTED_VALUE"""),"📍 Planejamento Financeiro | 🎓 Administração ⏩ Gestão Financeira e Controladoria | Transformar vidas através da Educação Financeira.")</f>
        <v>📍 Planejamento Financeiro | 🎓 Administração ⏩ Gestão Financeira e Controladoria | Transformar vidas através da Educação Financeira.</v>
      </c>
      <c r="D122" s="1">
        <f>IFERROR(__xludf.DUMMYFUNCTION("""COMPUTED_VALUE"""),0.0052893840833457)</f>
        <v>0.005289384083</v>
      </c>
      <c r="E122" s="3">
        <f>IFERROR(__xludf.DUMMYFUNCTION("""COMPUTED_VALUE"""),1585.0)</f>
        <v>1585</v>
      </c>
    </row>
    <row r="123">
      <c r="A123" s="9" t="str">
        <f>IFERROR(__xludf.DUMMYFUNCTION("""COMPUTED_VALUE"""),"Arthur Oliveira")</f>
        <v>Arthur Oliveira</v>
      </c>
      <c r="B123" s="1" t="str">
        <f>IFERROR(__xludf.DUMMYFUNCTION("""COMPUTED_VALUE"""),"allan_arthuur")</f>
        <v>allan_arthuur</v>
      </c>
      <c r="C123" s="1" t="str">
        <f>IFERROR(__xludf.DUMMYFUNCTION("""COMPUTED_VALUE"""),"Tecnólogo em Radiologia hospitalar
Estudante de ciências econômicas
Estudante de ciência de dados
Estudante da metodologia Lean Six Sigma.")</f>
        <v>Tecnólogo em Radiologia hospitalar
Estudante de ciências econômicas
Estudante de ciência de dados
Estudante da metodologia Lean Six Sigma.</v>
      </c>
      <c r="D123" s="1">
        <f>IFERROR(__xludf.DUMMYFUNCTION("""COMPUTED_VALUE"""),0.0052893840833457)</f>
        <v>0.005289384083</v>
      </c>
      <c r="E123" s="3">
        <f>IFERROR(__xludf.DUMMYFUNCTION("""COMPUTED_VALUE"""),13.0)</f>
        <v>13</v>
      </c>
    </row>
    <row r="124">
      <c r="A124" s="24" t="str">
        <f>IFERROR(__xludf.DUMMYFUNCTION("""COMPUTED_VALUE"""),"workshopdantas")</f>
        <v>workshopdantas</v>
      </c>
      <c r="B124" s="1" t="str">
        <f>IFERROR(__xludf.DUMMYFUNCTION("""COMPUTED_VALUE"""),"workshopdantas")</f>
        <v>workshopdantas</v>
      </c>
      <c r="C124" s="1" t="str">
        <f>IFERROR(__xludf.DUMMYFUNCTION("""COMPUTED_VALUE"""),"🇧🇷 Conservador | 📺 Entretenimento | 🦁 Futebol
“E conhecereis a verdade e a verdade vos libertará.” João 8:32 - #SDV")</f>
        <v>🇧🇷 Conservador | 📺 Entretenimento | 🦁 Futebol
“E conhecereis a verdade e a verdade vos libertará.” João 8:32 - #SDV</v>
      </c>
      <c r="D124" s="1">
        <f>IFERROR(__xludf.DUMMYFUNCTION("""COMPUTED_VALUE"""),0.004352722318586567)</f>
        <v>0.004352722319</v>
      </c>
      <c r="E124" s="3">
        <f>IFERROR(__xludf.DUMMYFUNCTION("""COMPUTED_VALUE"""),1792.0)</f>
        <v>1792</v>
      </c>
    </row>
    <row r="125">
      <c r="A125" s="9" t="str">
        <f>IFERROR(__xludf.DUMMYFUNCTION("""COMPUTED_VALUE"""),"Leve Investimentos")</f>
        <v>Leve Investimentos</v>
      </c>
      <c r="B125" s="1" t="str">
        <f>IFERROR(__xludf.DUMMYFUNCTION("""COMPUTED_VALUE"""),"leveappbr")</f>
        <v>leveappbr</v>
      </c>
      <c r="C125" s="1" t="str">
        <f>IFERROR(__xludf.DUMMYFUNCTION("""COMPUTED_VALUE"""),"The best investment app in Brazil | Invest in #Bitcoin, #stocks, #ETFs, among others. In one place, safely and Lightly. https://t.co/J1qDhJ5VAo")</f>
        <v>The best investment app in Brazil | Invest in #Bitcoin, #stocks, #ETFs, among others. In one place, safely and Lightly. https://t.co/J1qDhJ5VAo</v>
      </c>
      <c r="D125" s="1">
        <f>IFERROR(__xludf.DUMMYFUNCTION("""COMPUTED_VALUE"""),0.0034909934950081625)</f>
        <v>0.003490993495</v>
      </c>
      <c r="E125" s="3">
        <f>IFERROR(__xludf.DUMMYFUNCTION("""COMPUTED_VALUE"""),2881.0)</f>
        <v>2881</v>
      </c>
    </row>
    <row r="126">
      <c r="A126" s="9" t="str">
        <f>IFERROR(__xludf.DUMMYFUNCTION("""COMPUTED_VALUE"""),"🆂🅰🅻🆄𝕏cogitatoris")</f>
        <v>🆂🅰🅻🆄𝕏cogitatoris</v>
      </c>
      <c r="B126" s="1" t="str">
        <f>IFERROR(__xludf.DUMMYFUNCTION("""COMPUTED_VALUE"""),"salumc")</f>
        <v>salumc</v>
      </c>
      <c r="C126" s="1" t="str">
        <f>IFERROR(__xludf.DUMMYFUNCTION("""COMPUTED_VALUE"""),"Memes. Science. Investing. Ideias em pó. Xeets that make💰. “𝕻𝖔𝖕𝖚𝖑𝖚𝖘 𝖒𝖚𝖙𝖆𝖗𝖊 𝖒𝖚𝖓𝖉𝖎“")</f>
        <v>Memes. Science. Investing. Ideias em pó. Xeets that make💰. “𝕻𝖔𝖕𝖚𝖑𝖚𝖘 𝖒𝖚𝖙𝖆𝖗𝖊 𝖒𝖚𝖓𝖉𝖎“</v>
      </c>
      <c r="D126" s="1">
        <f>IFERROR(__xludf.DUMMYFUNCTION("""COMPUTED_VALUE"""),0.003376202606390873)</f>
        <v>0.003376202606</v>
      </c>
      <c r="E126" s="3">
        <f>IFERROR(__xludf.DUMMYFUNCTION("""COMPUTED_VALUE"""),2237.0)</f>
        <v>2237</v>
      </c>
    </row>
    <row r="127">
      <c r="A127" s="9" t="str">
        <f>IFERROR(__xludf.DUMMYFUNCTION("""COMPUTED_VALUE"""),"E-Investidor")</f>
        <v>E-Investidor</v>
      </c>
      <c r="B127" s="1" t="str">
        <f>IFERROR(__xludf.DUMMYFUNCTION("""COMPUTED_VALUE"""),"einvestidor")</f>
        <v>einvestidor</v>
      </c>
      <c r="C127" s="1" t="str">
        <f>IFERROR(__xludf.DUMMYFUNCTION("""COMPUTED_VALUE"""),"Notícias sobre mercado financeiro, economia e finanças pessoais. Este é o E-investidor, novo portal de investimentos do @estadao")</f>
        <v>Notícias sobre mercado financeiro, economia e finanças pessoais. Este é o E-investidor, novo portal de investimentos do @estadao</v>
      </c>
      <c r="D127" s="1">
        <f>IFERROR(__xludf.DUMMYFUNCTION("""COMPUTED_VALUE"""),0.003060136525021998)</f>
        <v>0.003060136525</v>
      </c>
      <c r="E127" s="3">
        <f>IFERROR(__xludf.DUMMYFUNCTION("""COMPUTED_VALUE"""),70515.0)</f>
        <v>70515</v>
      </c>
    </row>
    <row r="128">
      <c r="A128" s="9" t="str">
        <f>IFERROR(__xludf.DUMMYFUNCTION("""COMPUTED_VALUE"""),"Ourbooks")</f>
        <v>Ourbooks</v>
      </c>
      <c r="B128" s="1" t="str">
        <f>IFERROR(__xludf.DUMMYFUNCTION("""COMPUTED_VALUE"""),"ourbooksbr")</f>
        <v>ourbooksbr</v>
      </c>
      <c r="C128" s="1" t="str">
        <f>IFERROR(__xludf.DUMMYFUNCTION("""COMPUTED_VALUE"""),"O ambiente que conecta leitores que querem transformar suas vidas com livros que transformam vidas.")</f>
        <v>O ambiente que conecta leitores que querem transformar suas vidas com livros que transformam vidas.</v>
      </c>
      <c r="D128" s="1">
        <f>IFERROR(__xludf.DUMMYFUNCTION("""COMPUTED_VALUE"""),0.002843572883206649)</f>
        <v>0.002843572883</v>
      </c>
      <c r="E128" s="3">
        <f>IFERROR(__xludf.DUMMYFUNCTION("""COMPUTED_VALUE"""),2.0)</f>
        <v>2</v>
      </c>
    </row>
    <row r="129">
      <c r="A129" s="24" t="str">
        <f>IFERROR(__xludf.DUMMYFUNCTION("""COMPUTED_VALUE"""),"Rede TVT")</f>
        <v>Rede TVT</v>
      </c>
      <c r="B129" s="1" t="str">
        <f>IFERROR(__xludf.DUMMYFUNCTION("""COMPUTED_VALUE"""),"redetvt")</f>
        <v>redetvt</v>
      </c>
      <c r="C129" s="1" t="str">
        <f>IFERROR(__xludf.DUMMYFUNCTION("""COMPUTED_VALUE"""),"⚠️ Apoie a TVT, vamos levar nosso sinal para todo o Brasil com o novo app de streaming: 
acesse https://t.co/6mjfGkWOcG ou acesse o QRCode do vídeo.")</f>
        <v>⚠️ Apoie a TVT, vamos levar nosso sinal para todo o Brasil com o novo app de streaming: 
acesse https://t.co/6mjfGkWOcG ou acesse o QRCode do vídeo.</v>
      </c>
      <c r="D129" s="1">
        <f>IFERROR(__xludf.DUMMYFUNCTION("""COMPUTED_VALUE"""),0.0028165970243815854)</f>
        <v>0.002816597024</v>
      </c>
      <c r="E129" s="3">
        <f>IFERROR(__xludf.DUMMYFUNCTION("""COMPUTED_VALUE"""),42917.0)</f>
        <v>42917</v>
      </c>
    </row>
    <row r="130">
      <c r="A130" s="9" t="str">
        <f>IFERROR(__xludf.DUMMYFUNCTION("""COMPUTED_VALUE"""),"Banco Central BR")</f>
        <v>Banco Central BR</v>
      </c>
      <c r="B130" s="1" t="str">
        <f>IFERROR(__xludf.DUMMYFUNCTION("""COMPUTED_VALUE"""),"bancocentralbr")</f>
        <v>bancocentralbr</v>
      </c>
      <c r="C130" s="1" t="str">
        <f>IFERROR(__xludf.DUMMYFUNCTION("""COMPUTED_VALUE"""),"Fique por dentro de tudo que o BC publica: https://t.co/VrFnR3Etep…")</f>
        <v>Fique por dentro de tudo que o BC publica: https://t.co/VrFnR3Etep…</v>
      </c>
      <c r="D130" s="1">
        <f>IFERROR(__xludf.DUMMYFUNCTION("""COMPUTED_VALUE"""),0.0027586725005669392)</f>
        <v>0.002758672501</v>
      </c>
      <c r="E130" s="3">
        <f>IFERROR(__xludf.DUMMYFUNCTION("""COMPUTED_VALUE"""),460978.0)</f>
        <v>460978</v>
      </c>
    </row>
    <row r="131">
      <c r="A131" s="9" t="str">
        <f>IFERROR(__xludf.DUMMYFUNCTION("""COMPUTED_VALUE"""),"Como Reinventar-se")</f>
        <v>Como Reinventar-se</v>
      </c>
      <c r="B131" s="1" t="str">
        <f>IFERROR(__xludf.DUMMYFUNCTION("""COMPUTED_VALUE"""),"comoreinventar")</f>
        <v>comoreinventar</v>
      </c>
      <c r="C131" s="1" t="str">
        <f>IFERROR(__xludf.DUMMYFUNCTION("""COMPUTED_VALUE"""),"꧁𓊈𒆜🅵🅾🅻🅻🅾🆆𒆜𓊉꧂
Exibindo conteúdo de qualidade baseado em obras consagradas de autores renomados, ajudando você a alcançar a riqueza e a felicidade.")</f>
        <v>꧁𓊈𒆜🅵🅾🅻🅻🅾🆆𒆜𓊉꧂
Exibindo conteúdo de qualidade baseado em obras consagradas de autores renomados, ajudando você a alcançar a riqueza e a felicidade.</v>
      </c>
      <c r="D131" s="1">
        <f>IFERROR(__xludf.DUMMYFUNCTION("""COMPUTED_VALUE"""),0.002720254671434932)</f>
        <v>0.002720254671</v>
      </c>
      <c r="E131" s="3">
        <f>IFERROR(__xludf.DUMMYFUNCTION("""COMPUTED_VALUE"""),73.0)</f>
        <v>73</v>
      </c>
    </row>
    <row r="132">
      <c r="A132" s="24" t="str">
        <f>IFERROR(__xludf.DUMMYFUNCTION("""COMPUTED_VALUE"""),"Fernando Haddad")</f>
        <v>Fernando Haddad</v>
      </c>
      <c r="B132" s="1" t="str">
        <f>IFERROR(__xludf.DUMMYFUNCTION("""COMPUTED_VALUE"""),"haddad_fernando")</f>
        <v>haddad_fernando</v>
      </c>
      <c r="C132" s="1" t="str">
        <f>IFERROR(__xludf.DUMMYFUNCTION("""COMPUTED_VALUE"""),"Ministro da Fazenda de Lula,  Ex-Ministro da Educação, Ex-Prefeito de São Paulo,  Professor da USP")</f>
        <v>Ministro da Fazenda de Lula,  Ex-Ministro da Educação, Ex-Prefeito de São Paulo,  Professor da USP</v>
      </c>
      <c r="D132" s="1">
        <f>IFERROR(__xludf.DUMMYFUNCTION("""COMPUTED_VALUE"""),0.002277079847880324)</f>
        <v>0.002277079848</v>
      </c>
      <c r="E132" s="3">
        <f>IFERROR(__xludf.DUMMYFUNCTION("""COMPUTED_VALUE"""),2858032.0)</f>
        <v>2858032</v>
      </c>
    </row>
    <row r="133">
      <c r="A133" s="9" t="str">
        <f>IFERROR(__xludf.DUMMYFUNCTION("""COMPUTED_VALUE"""),"BSC News")</f>
        <v>BSC News</v>
      </c>
      <c r="B133" s="1" t="str">
        <f>IFERROR(__xludf.DUMMYFUNCTION("""COMPUTED_VALUE"""),"bscnews")</f>
        <v>bscnews</v>
      </c>
      <c r="C133" s="1" t="str">
        <f>IFERROR(__xludf.DUMMYFUNCTION("""COMPUTED_VALUE"""),"BSC News is the leading media platform for Decentralized Finance (DeFi) and Web3.")</f>
        <v>BSC News is the leading media platform for Decentralized Finance (DeFi) and Web3.</v>
      </c>
      <c r="D133" s="1">
        <f>IFERROR(__xludf.DUMMYFUNCTION("""COMPUTED_VALUE"""),0.002277079847880324)</f>
        <v>0.002277079848</v>
      </c>
      <c r="E133" s="3">
        <f>IFERROR(__xludf.DUMMYFUNCTION("""COMPUTED_VALUE"""),1007007.0)</f>
        <v>1007007</v>
      </c>
    </row>
    <row r="134">
      <c r="A134" s="9" t="str">
        <f>IFERROR(__xludf.DUMMYFUNCTION("""COMPUTED_VALUE"""),"Professor Mira")</f>
        <v>Professor Mira</v>
      </c>
      <c r="B134" s="1" t="str">
        <f>IFERROR(__xludf.DUMMYFUNCTION("""COMPUTED_VALUE"""),"professormira1")</f>
        <v>professormira1</v>
      </c>
      <c r="C134" s="1" t="str">
        <f>IFERROR(__xludf.DUMMYFUNCTION("""COMPUTED_VALUE"""),"Analista CNPI, Investidor Profissional, trader e especialista em finanças e Investimentos.")</f>
        <v>Analista CNPI, Investidor Profissional, trader e especialista em finanças e Investimentos.</v>
      </c>
      <c r="D134" s="1">
        <f>IFERROR(__xludf.DUMMYFUNCTION("""COMPUTED_VALUE"""),0.0022481388970090415)</f>
        <v>0.002248138897</v>
      </c>
      <c r="E134" s="3">
        <f>IFERROR(__xludf.DUMMYFUNCTION("""COMPUTED_VALUE"""),3193.0)</f>
        <v>3193</v>
      </c>
    </row>
    <row r="135">
      <c r="A135" s="9" t="str">
        <f>IFERROR(__xludf.DUMMYFUNCTION("""COMPUTED_VALUE"""),"Money Times")</f>
        <v>Money Times</v>
      </c>
      <c r="B135" s="1" t="str">
        <f>IFERROR(__xludf.DUMMYFUNCTION("""COMPUTED_VALUE"""),"leiamoneytimes")</f>
        <v>leiamoneytimes</v>
      </c>
      <c r="C135" s="1" t="str">
        <f>IFERROR(__xludf.DUMMYFUNCTION("""COMPUTED_VALUE"""),"🗞️💰💡 Notícias que enriquecem seu dia! 
Não é apenas sobre publicar notícias, é sobre como pensamos o jornalismo. 
Siga 👉 @leiacryptotimes e @leiaagrotimes")</f>
        <v>🗞️💰💡 Notícias que enriquecem seu dia! 
Não é apenas sobre publicar notícias, é sobre como pensamos o jornalismo. 
Siga 👉 @leiacryptotimes e @leiaagrotimes</v>
      </c>
      <c r="D135" s="1">
        <f>IFERROR(__xludf.DUMMYFUNCTION("""COMPUTED_VALUE"""),0.0021422005537550088)</f>
        <v>0.002142200554</v>
      </c>
      <c r="E135" s="3">
        <f>IFERROR(__xludf.DUMMYFUNCTION("""COMPUTED_VALUE"""),141888.0)</f>
        <v>141888</v>
      </c>
    </row>
    <row r="136">
      <c r="A136" s="9" t="str">
        <f>IFERROR(__xludf.DUMMYFUNCTION("""COMPUTED_VALUE"""),"Economia Estadão")</f>
        <v>Economia Estadão</v>
      </c>
      <c r="B136" s="1" t="str">
        <f>IFERROR(__xludf.DUMMYFUNCTION("""COMPUTED_VALUE"""),"estadaoeconomia")</f>
        <v>estadaoeconomia</v>
      </c>
      <c r="C136" s="1" t="str">
        <f>IFERROR(__xludf.DUMMYFUNCTION("""COMPUTED_VALUE"""),"Twitter do site Economia &amp; Negócios do Estadão")</f>
        <v>Twitter do site Economia &amp; Negócios do Estadão</v>
      </c>
      <c r="D136" s="1">
        <f>IFERROR(__xludf.DUMMYFUNCTION("""COMPUTED_VALUE"""),0.00207121145158379)</f>
        <v>0.002071211452</v>
      </c>
      <c r="E136" s="3">
        <f>IFERROR(__xludf.DUMMYFUNCTION("""COMPUTED_VALUE"""),447976.0)</f>
        <v>447976</v>
      </c>
    </row>
    <row r="137">
      <c r="A137" s="9" t="str">
        <f>IFERROR(__xludf.DUMMYFUNCTION("""COMPUTED_VALUE"""),"FERNANDA TORRES OCHO")</f>
        <v>FERNANDA TORRES OCHO</v>
      </c>
      <c r="B137" s="1" t="str">
        <f>IFERROR(__xludf.DUMMYFUNCTION("""COMPUTED_VALUE"""),"fernandatorreso")</f>
        <v>fernandatorreso</v>
      </c>
      <c r="C137" s="1"/>
      <c r="D137" s="1">
        <f>IFERROR(__xludf.DUMMYFUNCTION("""COMPUTED_VALUE"""),0.0020410410831610223)</f>
        <v>0.002041041083</v>
      </c>
      <c r="E137" s="3">
        <f>IFERROR(__xludf.DUMMYFUNCTION("""COMPUTED_VALUE"""),1.0)</f>
        <v>1</v>
      </c>
    </row>
    <row r="138">
      <c r="A138" s="9" t="str">
        <f>IFERROR(__xludf.DUMMYFUNCTION("""COMPUTED_VALUE"""),"DEGIRO")</f>
        <v>DEGIRO</v>
      </c>
      <c r="B138" s="1" t="str">
        <f>IFERROR(__xludf.DUMMYFUNCTION("""COMPUTED_VALUE"""),"degiro")</f>
        <v>degiro</v>
      </c>
      <c r="C138" s="1" t="str">
        <f>IFERROR(__xludf.DUMMYFUNCTION("""COMPUTED_VALUE"""),"Make the most out of your investments with our low fees and award-winning platform.
Investing involves a risk of loss.")</f>
        <v>Make the most out of your investments with our low fees and award-winning platform.
Investing involves a risk of loss.</v>
      </c>
      <c r="D138" s="1">
        <f>IFERROR(__xludf.DUMMYFUNCTION("""COMPUTED_VALUE"""),0.0020410410831610223)</f>
        <v>0.002041041083</v>
      </c>
      <c r="E138" s="3">
        <f>IFERROR(__xludf.DUMMYFUNCTION("""COMPUTED_VALUE"""),24871.0)</f>
        <v>24871</v>
      </c>
    </row>
    <row r="139">
      <c r="A139" s="9" t="str">
        <f>IFERROR(__xludf.DUMMYFUNCTION("""COMPUTED_VALUE"""),"Organizze")</f>
        <v>Organizze</v>
      </c>
      <c r="B139" s="1" t="str">
        <f>IFERROR(__xludf.DUMMYFUNCTION("""COMPUTED_VALUE"""),"organizze")</f>
        <v>organizze</v>
      </c>
      <c r="C139" s="1" t="str">
        <f>IFERROR(__xludf.DUMMYFUNCTION("""COMPUTED_VALUE"""),"O controle financeiro completo que vai aposentar de vez sua planilha. 
Acesse pela Web ou baixe no seu Android ou iOS!")</f>
        <v>O controle financeiro completo que vai aposentar de vez sua planilha. 
Acesse pela Web ou baixe no seu Android ou iOS!</v>
      </c>
      <c r="D139" s="1">
        <f>IFERROR(__xludf.DUMMYFUNCTION("""COMPUTED_VALUE"""),0.0019269124496703708)</f>
        <v>0.00192691245</v>
      </c>
      <c r="E139" s="3">
        <f>IFERROR(__xludf.DUMMYFUNCTION("""COMPUTED_VALUE"""),4801.0)</f>
        <v>4801</v>
      </c>
    </row>
    <row r="140">
      <c r="A140" s="9" t="str">
        <f>IFERROR(__xludf.DUMMYFUNCTION("""COMPUTED_VALUE"""),"Marcese Maschietto")</f>
        <v>Marcese Maschietto</v>
      </c>
      <c r="B140" s="1" t="str">
        <f>IFERROR(__xludf.DUMMYFUNCTION("""COMPUTED_VALUE"""),"marcesemasch")</f>
        <v>marcesemasch</v>
      </c>
      <c r="C140" s="1" t="str">
        <f>IFERROR(__xludf.DUMMYFUNCTION("""COMPUTED_VALUE"""),"Fundador do canal Dinheirando
Todo mundo pode ter dinheiro sobrando no fim do mês, inclusive você!")</f>
        <v>Fundador do canal Dinheirando
Todo mundo pode ter dinheiro sobrando no fim do mês, inclusive você!</v>
      </c>
      <c r="D140" s="1">
        <f>IFERROR(__xludf.DUMMYFUNCTION("""COMPUTED_VALUE"""),0.0018346757631492899)</f>
        <v>0.001834675763</v>
      </c>
      <c r="E140" s="3">
        <f>IFERROR(__xludf.DUMMYFUNCTION("""COMPUTED_VALUE"""),141.0)</f>
        <v>141</v>
      </c>
    </row>
    <row r="141">
      <c r="A141" s="9" t="str">
        <f>IFERROR(__xludf.DUMMYFUNCTION("""COMPUTED_VALUE"""),"Fabrizio Gueratto | 1Bilhão")</f>
        <v>Fabrizio Gueratto | 1Bilhão</v>
      </c>
      <c r="B141" s="1" t="str">
        <f>IFERROR(__xludf.DUMMYFUNCTION("""COMPUTED_VALUE"""),"1bilhao_")</f>
        <v>1bilhao_</v>
      </c>
      <c r="C141" s="1" t="str">
        <f>IFERROR(__xludf.DUMMYFUNCTION("""COMPUTED_VALUE"""),"Colunista de investimentos do Estadão &amp; criador do 1Bilhão Educação Financeira. #MétodoMR2")</f>
        <v>Colunista de investimentos do Estadão &amp; criador do 1Bilhão Educação Financeira. #MétodoMR2</v>
      </c>
      <c r="D141" s="1">
        <f>IFERROR(__xludf.DUMMYFUNCTION("""COMPUTED_VALUE"""),0.0018338540310093342)</f>
        <v>0.001833854031</v>
      </c>
      <c r="E141" s="3">
        <f>IFERROR(__xludf.DUMMYFUNCTION("""COMPUTED_VALUE"""),858.0)</f>
        <v>858</v>
      </c>
    </row>
    <row r="142">
      <c r="A142" s="9" t="str">
        <f>IFERROR(__xludf.DUMMYFUNCTION("""COMPUTED_VALUE"""),"Ágora Investimentos")</f>
        <v>Ágora Investimentos</v>
      </c>
      <c r="B142" s="1" t="str">
        <f>IFERROR(__xludf.DUMMYFUNCTION("""COMPUTED_VALUE"""),"agoracorretora")</f>
        <v>agoracorretora</v>
      </c>
      <c r="C142" s="1" t="str">
        <f>IFERROR(__xludf.DUMMYFUNCTION("""COMPUTED_VALUE"""),"Transparência, rentabilidade e segurança são os objetivos da nossa casa de investimentos.")</f>
        <v>Transparência, rentabilidade e segurança são os objetivos da nossa casa de investimentos.</v>
      </c>
      <c r="D142" s="1">
        <f>IFERROR(__xludf.DUMMYFUNCTION("""COMPUTED_VALUE"""),0.0018322073341366122)</f>
        <v>0.001832207334</v>
      </c>
      <c r="E142" s="3">
        <f>IFERROR(__xludf.DUMMYFUNCTION("""COMPUTED_VALUE"""),31787.0)</f>
        <v>31787</v>
      </c>
    </row>
    <row r="143">
      <c r="A143" s="9" t="str">
        <f>IFERROR(__xludf.DUMMYFUNCTION("""COMPUTED_VALUE"""),"Vitor Santos")</f>
        <v>Vitor Santos</v>
      </c>
      <c r="B143" s="1" t="str">
        <f>IFERROR(__xludf.DUMMYFUNCTION("""COMPUTED_VALUE"""),"jornalistavitor")</f>
        <v>jornalistavitor</v>
      </c>
      <c r="C143" s="1" t="str">
        <f>IFERROR(__xludf.DUMMYFUNCTION("""COMPUTED_VALUE"""),"VITOR SANTOS é jornalista,escritor, consultor, pesquisador, e autor de vários artigos Facebook https://t.co/zr7gpVta8X…")</f>
        <v>VITOR SANTOS é jornalista,escritor, consultor, pesquisador, e autor de vários artigos Facebook https://t.co/zr7gpVta8X…</v>
      </c>
      <c r="D143" s="1">
        <f>IFERROR(__xludf.DUMMYFUNCTION("""COMPUTED_VALUE"""),0.0018309406442350502)</f>
        <v>0.001830940644</v>
      </c>
      <c r="E143" s="3">
        <f>IFERROR(__xludf.DUMMYFUNCTION("""COMPUTED_VALUE"""),36018.0)</f>
        <v>36018</v>
      </c>
    </row>
    <row r="144">
      <c r="A144" s="9" t="str">
        <f>IFERROR(__xludf.DUMMYFUNCTION("""COMPUTED_VALUE"""),"Henrique Esteter")</f>
        <v>Henrique Esteter</v>
      </c>
      <c r="B144" s="1" t="str">
        <f>IFERROR(__xludf.DUMMYFUNCTION("""COMPUTED_VALUE"""),"economesteter")</f>
        <v>economesteter</v>
      </c>
      <c r="C144" s="1" t="str">
        <f>IFERROR(__xludf.DUMMYFUNCTION("""COMPUTED_VALUE"""),"🥇Top 10 Influencers do Mercado -Anbima Especialista @infomoney 🎙Podcaster @stockpickers_ 🤝Parcerias: economesteter@gmail.com")</f>
        <v>🥇Top 10 Influencers do Mercado -Anbima Especialista @infomoney 🎙Podcaster @stockpickers_ 🤝Parcerias: economesteter@gmail.com</v>
      </c>
      <c r="D144" s="1">
        <f>IFERROR(__xludf.DUMMYFUNCTION("""COMPUTED_VALUE"""),0.0018050023184417207)</f>
        <v>0.001805002318</v>
      </c>
      <c r="E144" s="3">
        <f>IFERROR(__xludf.DUMMYFUNCTION("""COMPUTED_VALUE"""),59097.0)</f>
        <v>59097</v>
      </c>
    </row>
    <row r="145">
      <c r="A145" s="9" t="str">
        <f>IFERROR(__xludf.DUMMYFUNCTION("""COMPUTED_VALUE"""),"Lucas Pedrosa")</f>
        <v>Lucas Pedrosa</v>
      </c>
      <c r="B145" s="1" t="str">
        <f>IFERROR(__xludf.DUMMYFUNCTION("""COMPUTED_VALUE"""),"pedrosa")</f>
        <v>pedrosa</v>
      </c>
      <c r="C145" s="1" t="str">
        <f>IFERROR(__xludf.DUMMYFUNCTION("""COMPUTED_VALUE"""),"Comentarista do @sbt_sports e da @cazetvoficial. Opinião e informação. Uma não existe sem a outra. 📰 Inscreva-se no https://t.co/jUF3T9g5qU 🎙")</f>
        <v>Comentarista do @sbt_sports e da @cazetvoficial. Opinião e informação. Uma não existe sem a outra. 📰 Inscreva-se no https://t.co/jUF3T9g5qU 🎙</v>
      </c>
      <c r="D145" s="1">
        <f>IFERROR(__xludf.DUMMYFUNCTION("""COMPUTED_VALUE"""),0.0017544225831447272)</f>
        <v>0.001754422583</v>
      </c>
      <c r="E145" s="3">
        <f>IFERROR(__xludf.DUMMYFUNCTION("""COMPUTED_VALUE"""),189776.0)</f>
        <v>189776</v>
      </c>
    </row>
    <row r="146">
      <c r="A146" s="24" t="str">
        <f>IFERROR(__xludf.DUMMYFUNCTION("""COMPUTED_VALUE"""),"Consed")</f>
        <v>Consed</v>
      </c>
      <c r="B146" s="1" t="str">
        <f>IFERROR(__xludf.DUMMYFUNCTION("""COMPUTED_VALUE"""),"consedbr")</f>
        <v>consedbr</v>
      </c>
      <c r="C146" s="1" t="str">
        <f>IFERROR(__xludf.DUMMYFUNCTION("""COMPUTED_VALUE"""),"Eu sou o Conselho Nacional de Secretários de Educação e tuíto sobre as redes estaduais de ensino")</f>
        <v>Eu sou o Conselho Nacional de Secretários de Educação e tuíto sobre as redes estaduais de ensino</v>
      </c>
      <c r="D146" s="1">
        <f>IFERROR(__xludf.DUMMYFUNCTION("""COMPUTED_VALUE"""),0.001647155789151581)</f>
        <v>0.001647155789</v>
      </c>
      <c r="E146" s="3">
        <f>IFERROR(__xludf.DUMMYFUNCTION("""COMPUTED_VALUE"""),4043.0)</f>
        <v>4043</v>
      </c>
    </row>
    <row r="147">
      <c r="A147" s="9" t="str">
        <f>IFERROR(__xludf.DUMMYFUNCTION("""COMPUTED_VALUE"""),"Valor Econômico")</f>
        <v>Valor Econômico</v>
      </c>
      <c r="B147" s="1" t="str">
        <f>IFERROR(__xludf.DUMMYFUNCTION("""COMPUTED_VALUE"""),"valoreconomico")</f>
        <v>valoreconomico</v>
      </c>
      <c r="C147" s="1" t="str">
        <f>IFERROR(__xludf.DUMMYFUNCTION("""COMPUTED_VALUE"""),"A mais completa e admirada cobertura de economia, negócios e finanças. Notícias que geram negócios.")</f>
        <v>A mais completa e admirada cobertura de economia, negócios e finanças. Notícias que geram negócios.</v>
      </c>
      <c r="D147" s="1">
        <f>IFERROR(__xludf.DUMMYFUNCTION("""COMPUTED_VALUE"""),0.0015387931852996505)</f>
        <v>0.001538793185</v>
      </c>
      <c r="E147" s="3">
        <f>IFERROR(__xludf.DUMMYFUNCTION("""COMPUTED_VALUE"""),2615878.0)</f>
        <v>2615878</v>
      </c>
    </row>
    <row r="148">
      <c r="A148" s="9" t="str">
        <f>IFERROR(__xludf.DUMMYFUNCTION("""COMPUTED_VALUE"""),"Estadão 🗞️")</f>
        <v>Estadão 🗞️</v>
      </c>
      <c r="B148" s="1" t="str">
        <f>IFERROR(__xludf.DUMMYFUNCTION("""COMPUTED_VALUE"""),"estadao")</f>
        <v>estadao</v>
      </c>
      <c r="C148" s="1" t="str">
        <f>IFERROR(__xludf.DUMMYFUNCTION("""COMPUTED_VALUE"""),"A versão online do jornal O Estado de S. Paulo. Acompanhe também as atualizações pelo Instagram: https://t.co/hGsLKgFw9w")</f>
        <v>A versão online do jornal O Estado de S. Paulo. Acompanhe também as atualizações pelo Instagram: https://t.co/hGsLKgFw9w</v>
      </c>
      <c r="D148" s="1">
        <f>IFERROR(__xludf.DUMMYFUNCTION("""COMPUTED_VALUE"""),0.0015032986342140412)</f>
        <v>0.001503298634</v>
      </c>
      <c r="E148" s="3">
        <f>IFERROR(__xludf.DUMMYFUNCTION("""COMPUTED_VALUE"""),7576346.0)</f>
        <v>7576346</v>
      </c>
    </row>
    <row r="149">
      <c r="A149" s="9" t="str">
        <f>IFERROR(__xludf.DUMMYFUNCTION("""COMPUTED_VALUE"""),"Ricardo Amorim")</f>
        <v>Ricardo Amorim</v>
      </c>
      <c r="B149" s="1" t="str">
        <f>IFERROR(__xludf.DUMMYFUNCTION("""COMPUTED_VALUE"""),"ricamconsult")</f>
        <v>ricamconsult</v>
      </c>
      <c r="C149" s="1" t="str">
        <f>IFERROR(__xludf.DUMMYFUNCTION("""COMPUTED_VALUE"""),"Economista sem economês e com bom humor. Ganhador dos Prêmios iBest de Economia e Negócios, Opinião e Cidadania e maior influenciador do LinkedIn.")</f>
        <v>Economista sem economês e com bom humor. Ganhador dos Prêmios iBest de Economia e Negócios, Opinião e Cidadania e maior influenciador do LinkedIn.</v>
      </c>
      <c r="D149" s="1">
        <f>IFERROR(__xludf.DUMMYFUNCTION("""COMPUTED_VALUE"""),0.001467804083128432)</f>
        <v>0.001467804083</v>
      </c>
      <c r="E149" s="3">
        <f>IFERROR(__xludf.DUMMYFUNCTION("""COMPUTED_VALUE"""),1511945.0)</f>
        <v>1511945</v>
      </c>
    </row>
    <row r="150">
      <c r="A150" s="9" t="str">
        <f>IFERROR(__xludf.DUMMYFUNCTION("""COMPUTED_VALUE"""),"Caio Vilella")</f>
        <v>Caio Vilella</v>
      </c>
      <c r="B150" s="1" t="str">
        <f>IFERROR(__xludf.DUMMYFUNCTION("""COMPUTED_VALUE"""),"caiovilella")</f>
        <v>caiovilella</v>
      </c>
      <c r="C150" s="1" t="str">
        <f>IFERROR(__xludf.DUMMYFUNCTION("""COMPUTED_VALUE"""),"Professor de Macroeconomia |  Doutor em economia pela UFRJ | Tento falar de teoria econômica de uma maneira mais simples. Nem sempre consigo.")</f>
        <v>Professor de Macroeconomia |  Doutor em economia pela UFRJ | Tento falar de teoria econômica de uma maneira mais simples. Nem sempre consigo.</v>
      </c>
      <c r="D150" s="1">
        <f>IFERROR(__xludf.DUMMYFUNCTION("""COMPUTED_VALUE"""),0.001467804083128432)</f>
        <v>0.001467804083</v>
      </c>
      <c r="E150" s="3">
        <f>IFERROR(__xludf.DUMMYFUNCTION("""COMPUTED_VALUE"""),3407.0)</f>
        <v>3407</v>
      </c>
    </row>
    <row r="151">
      <c r="A151" s="9" t="str">
        <f>IFERROR(__xludf.DUMMYFUNCTION("""COMPUTED_VALUE"""),"Investidor Frugal")</f>
        <v>Investidor Frugal</v>
      </c>
      <c r="B151" s="1" t="str">
        <f>IFERROR(__xludf.DUMMYFUNCTION("""COMPUTED_VALUE"""),"investfrugal")</f>
        <v>investfrugal</v>
      </c>
      <c r="C151" s="1" t="str">
        <f>IFERROR(__xludf.DUMMYFUNCTION("""COMPUTED_VALUE"""),"Missão: Partilhar conhecimento que permita melhorar o bem-estar financeiro dos meus leitores. Finanças Pessoais em português.")</f>
        <v>Missão: Partilhar conhecimento que permita melhorar o bem-estar financeiro dos meus leitores. Finanças Pessoais em português.</v>
      </c>
      <c r="D151" s="1">
        <f>IFERROR(__xludf.DUMMYFUNCTION("""COMPUTED_VALUE"""),0.001467804083128432)</f>
        <v>0.001467804083</v>
      </c>
      <c r="E151" s="3">
        <f>IFERROR(__xludf.DUMMYFUNCTION("""COMPUTED_VALUE"""),108.0)</f>
        <v>108</v>
      </c>
    </row>
    <row r="152">
      <c r="A152" s="9" t="str">
        <f>IFERROR(__xludf.DUMMYFUNCTION("""COMPUTED_VALUE"""),"Jéssica Vieira")</f>
        <v>Jéssica Vieira</v>
      </c>
      <c r="B152" s="1" t="str">
        <f>IFERROR(__xludf.DUMMYFUNCTION("""COMPUTED_VALUE"""),"jessiviesil")</f>
        <v>jessiviesil</v>
      </c>
      <c r="C152" s="1" t="str">
        <f>IFERROR(__xludf.DUMMYFUNCTION("""COMPUTED_VALUE"""),"❥ Jornalista, taurina, baixa visão, mestre em Linguística e em falar pelos cotovelos! 🤭 A humana da Zoé 🦮")</f>
        <v>❥ Jornalista, taurina, baixa visão, mestre em Linguística e em falar pelos cotovelos! 🤭 A humana da Zoé 🦮</v>
      </c>
      <c r="D152" s="1">
        <f>IFERROR(__xludf.DUMMYFUNCTION("""COMPUTED_VALUE"""),0.001467804083128432)</f>
        <v>0.001467804083</v>
      </c>
      <c r="E152" s="3">
        <f>IFERROR(__xludf.DUMMYFUNCTION("""COMPUTED_VALUE"""),270.0)</f>
        <v>270</v>
      </c>
    </row>
    <row r="153">
      <c r="A153" s="9" t="str">
        <f>IFERROR(__xludf.DUMMYFUNCTION("""COMPUTED_VALUE"""),"Arezzo")</f>
        <v>Arezzo</v>
      </c>
      <c r="B153" s="1" t="str">
        <f>IFERROR(__xludf.DUMMYFUNCTION("""COMPUTED_VALUE"""),"arezzo")</f>
        <v>arezzo</v>
      </c>
      <c r="C153" s="1" t="str">
        <f>IFERROR(__xludf.DUMMYFUNCTION("""COMPUTED_VALUE"""),"Twitter oficial @arezzo")</f>
        <v>Twitter oficial @arezzo</v>
      </c>
      <c r="D153" s="1">
        <f>IFERROR(__xludf.DUMMYFUNCTION("""COMPUTED_VALUE"""),0.001467804083128432)</f>
        <v>0.001467804083</v>
      </c>
      <c r="E153" s="3">
        <f>IFERROR(__xludf.DUMMYFUNCTION("""COMPUTED_VALUE"""),86498.0)</f>
        <v>86498</v>
      </c>
    </row>
    <row r="154">
      <c r="A154" s="9" t="str">
        <f>IFERROR(__xludf.DUMMYFUNCTION("""COMPUTED_VALUE"""),"Bruno Abrantes")</f>
        <v>Bruno Abrantes</v>
      </c>
      <c r="B154" s="1" t="str">
        <f>IFERROR(__xludf.DUMMYFUNCTION("""COMPUTED_VALUE"""),"brunodabrantes")</f>
        <v>brunodabrantes</v>
      </c>
      <c r="C154" s="1"/>
      <c r="D154" s="1">
        <f>IFERROR(__xludf.DUMMYFUNCTION("""COMPUTED_VALUE"""),0.001467804083128432)</f>
        <v>0.001467804083</v>
      </c>
      <c r="E154" s="3">
        <f>IFERROR(__xludf.DUMMYFUNCTION("""COMPUTED_VALUE"""),5.0)</f>
        <v>5</v>
      </c>
    </row>
    <row r="155">
      <c r="A155" s="24" t="str">
        <f>IFERROR(__xludf.DUMMYFUNCTION("""COMPUTED_VALUE"""),"Gonçalo Sousa")</f>
        <v>Gonçalo Sousa</v>
      </c>
      <c r="B155" s="1" t="str">
        <f>IFERROR(__xludf.DUMMYFUNCTION("""COMPUTED_VALUE"""),"machotoxico_")</f>
        <v>machotoxico_</v>
      </c>
      <c r="C155" s="1" t="str">
        <f>IFERROR(__xludf.DUMMYFUNCTION("""COMPUTED_VALUE"""),"Analista político, Empresário, Comunicólogo, Embaixador da Masculinidade Tóxica |
Canal de YouTube ⬇️")</f>
        <v>Analista político, Empresário, Comunicólogo, Embaixador da Masculinidade Tóxica |
Canal de YouTube ⬇️</v>
      </c>
      <c r="D155" s="1">
        <f>IFERROR(__xludf.DUMMYFUNCTION("""COMPUTED_VALUE"""),0.001467804083128432)</f>
        <v>0.001467804083</v>
      </c>
      <c r="E155" s="3">
        <f>IFERROR(__xludf.DUMMYFUNCTION("""COMPUTED_VALUE"""),16612.0)</f>
        <v>16612</v>
      </c>
    </row>
    <row r="156">
      <c r="A156" s="9" t="str">
        <f>IFERROR(__xludf.DUMMYFUNCTION("""COMPUTED_VALUE"""),"Inteligência Financeira")</f>
        <v>Inteligência Financeira</v>
      </c>
      <c r="B156" s="1" t="str">
        <f>IFERROR(__xludf.DUMMYFUNCTION("""COMPUTED_VALUE"""),"sigaif")</f>
        <v>sigaif</v>
      </c>
      <c r="C156" s="1" t="str">
        <f>IFERROR(__xludf.DUMMYFUNCTION("""COMPUTED_VALUE"""),"Nossa plataforma transforma a sua jornada financeira. Pra gente, informação é investimento.")</f>
        <v>Nossa plataforma transforma a sua jornada financeira. Pra gente, informação é investimento.</v>
      </c>
      <c r="D156" s="1">
        <f>IFERROR(__xludf.DUMMYFUNCTION("""COMPUTED_VALUE"""),0.001467804083128432)</f>
        <v>0.001467804083</v>
      </c>
      <c r="E156" s="3">
        <f>IFERROR(__xludf.DUMMYFUNCTION("""COMPUTED_VALUE"""),4756.0)</f>
        <v>4756</v>
      </c>
    </row>
    <row r="157">
      <c r="A157" s="9" t="str">
        <f>IFERROR(__xludf.DUMMYFUNCTION("""COMPUTED_VALUE"""),"Terra Brasilis")</f>
        <v>Terra Brasilis</v>
      </c>
      <c r="B157" s="1" t="str">
        <f>IFERROR(__xludf.DUMMYFUNCTION("""COMPUTED_VALUE"""),"terra__brasilis")</f>
        <v>terra__brasilis</v>
      </c>
      <c r="C157" s="1" t="str">
        <f>IFERROR(__xludf.DUMMYFUNCTION("""COMPUTED_VALUE"""),"Notícias sobre Economia e outras coisas que acontecem lá no meu Brasil")</f>
        <v>Notícias sobre Economia e outras coisas que acontecem lá no meu Brasil</v>
      </c>
      <c r="D157" s="1">
        <f>IFERROR(__xludf.DUMMYFUNCTION("""COMPUTED_VALUE"""),0.001467804083128432)</f>
        <v>0.001467804083</v>
      </c>
      <c r="E157" s="3">
        <f>IFERROR(__xludf.DUMMYFUNCTION("""COMPUTED_VALUE"""),35703.0)</f>
        <v>35703</v>
      </c>
    </row>
    <row r="158">
      <c r="A158" s="9" t="str">
        <f>IFERROR(__xludf.DUMMYFUNCTION("""COMPUTED_VALUE"""),"Thiago Nigro")</f>
        <v>Thiago Nigro</v>
      </c>
      <c r="B158" s="1" t="str">
        <f>IFERROR(__xludf.DUMMYFUNCTION("""COMPUTED_VALUE"""),"thiagonigro")</f>
        <v>thiagonigro</v>
      </c>
      <c r="C158" s="1" t="str">
        <f>IFERROR(__xludf.DUMMYFUNCTION("""COMPUTED_VALUE"""),"O Primo Rico | Investimentos, Empreendedorismo e Finanças.")</f>
        <v>O Primo Rico | Investimentos, Empreendedorismo e Finanças.</v>
      </c>
      <c r="D158" s="1">
        <f>IFERROR(__xludf.DUMMYFUNCTION("""COMPUTED_VALUE"""),0.001467804083128432)</f>
        <v>0.001467804083</v>
      </c>
      <c r="E158" s="3">
        <f>IFERROR(__xludf.DUMMYFUNCTION("""COMPUTED_VALUE"""),449484.0)</f>
        <v>449484</v>
      </c>
    </row>
    <row r="159">
      <c r="A159" s="9" t="str">
        <f>IFERROR(__xludf.DUMMYFUNCTION("""COMPUTED_VALUE"""),"Mateus Pontes")</f>
        <v>Mateus Pontes</v>
      </c>
      <c r="B159" s="1" t="str">
        <f>IFERROR(__xludf.DUMMYFUNCTION("""COMPUTED_VALUE"""),"mattpontes")</f>
        <v>mattpontes</v>
      </c>
      <c r="C159" s="1" t="str">
        <f>IFERROR(__xludf.DUMMYFUNCTION("""COMPUTED_VALUE"""),"-LOGIA")</f>
        <v>-LOGIA</v>
      </c>
      <c r="D159" s="1">
        <f>IFERROR(__xludf.DUMMYFUNCTION("""COMPUTED_VALUE"""),0.001467804083128432)</f>
        <v>0.001467804083</v>
      </c>
      <c r="E159" s="3">
        <f>IFERROR(__xludf.DUMMYFUNCTION("""COMPUTED_VALUE"""),301.0)</f>
        <v>301</v>
      </c>
    </row>
    <row r="160">
      <c r="A160" s="9" t="str">
        <f>IFERROR(__xludf.DUMMYFUNCTION("""COMPUTED_VALUE"""),"Edson Teixeira")</f>
        <v>Edson Teixeira</v>
      </c>
      <c r="B160" s="1" t="str">
        <f>IFERROR(__xludf.DUMMYFUNCTION("""COMPUTED_VALUE"""),"edsontsjr")</f>
        <v>edsontsjr</v>
      </c>
      <c r="C160" s="1" t="str">
        <f>IFERROR(__xludf.DUMMYFUNCTION("""COMPUTED_VALUE"""),"Where ignorance is bliss, 'tis folly to be wise.")</f>
        <v>Where ignorance is bliss, 'tis folly to be wise.</v>
      </c>
      <c r="D160" s="1">
        <f>IFERROR(__xludf.DUMMYFUNCTION("""COMPUTED_VALUE"""),0.001467804083128432)</f>
        <v>0.001467804083</v>
      </c>
      <c r="E160" s="3">
        <f>IFERROR(__xludf.DUMMYFUNCTION("""COMPUTED_VALUE"""),43.0)</f>
        <v>43</v>
      </c>
    </row>
    <row r="161">
      <c r="A161" s="9" t="str">
        <f>IFERROR(__xludf.DUMMYFUNCTION("""COMPUTED_VALUE"""),"Vokin Investimentos")</f>
        <v>Vokin Investimentos</v>
      </c>
      <c r="B161" s="1" t="str">
        <f>IFERROR(__xludf.DUMMYFUNCTION("""COMPUTED_VALUE"""),"vokininvest")</f>
        <v>vokininvest</v>
      </c>
      <c r="C161" s="1" t="str">
        <f>IFERROR(__xludf.DUMMYFUNCTION("""COMPUTED_VALUE"""),"A Vokin está presente em diversas plataforma de investimentos para você poder investir onde ficar mais confortável.")</f>
        <v>A Vokin está presente em diversas plataforma de investimentos para você poder investir onde ficar mais confortável.</v>
      </c>
      <c r="D161" s="1">
        <f>IFERROR(__xludf.DUMMYFUNCTION("""COMPUTED_VALUE"""),0.001467804083128432)</f>
        <v>0.001467804083</v>
      </c>
      <c r="E161" s="3">
        <f>IFERROR(__xludf.DUMMYFUNCTION("""COMPUTED_VALUE"""),198.0)</f>
        <v>198</v>
      </c>
    </row>
    <row r="162">
      <c r="A162" s="9" t="str">
        <f>IFERROR(__xludf.DUMMYFUNCTION("""COMPUTED_VALUE"""),"let")</f>
        <v>let</v>
      </c>
      <c r="B162" s="1" t="str">
        <f>IFERROR(__xludf.DUMMYFUNCTION("""COMPUTED_VALUE"""),"let")</f>
        <v>let</v>
      </c>
      <c r="C162" s="1"/>
      <c r="D162" s="1">
        <f>IFERROR(__xludf.DUMMYFUNCTION("""COMPUTED_VALUE"""),0.001467804083128432)</f>
        <v>0.001467804083</v>
      </c>
      <c r="E162" s="3">
        <f>IFERROR(__xludf.DUMMYFUNCTION("""COMPUTED_VALUE"""),165.0)</f>
        <v>165</v>
      </c>
    </row>
    <row r="163">
      <c r="A163" s="24" t="str">
        <f>IFERROR(__xludf.DUMMYFUNCTION("""COMPUTED_VALUE"""),"MBL - Movimento Brasil Livre")</f>
        <v>MBL - Movimento Brasil Livre</v>
      </c>
      <c r="B163" s="1" t="str">
        <f>IFERROR(__xludf.DUMMYFUNCTION("""COMPUTED_VALUE"""),"mblivre")</f>
        <v>mblivre</v>
      </c>
      <c r="C163" s="1" t="str">
        <f>IFERROR(__xludf.DUMMYFUNCTION("""COMPUTED_VALUE"""),"O Movimento Brasil Livre é uma entidade suprapartidária que visa a mobilizar cidadãos em favor de uma sociedade mais livre, justa e próspera")</f>
        <v>O Movimento Brasil Livre é uma entidade suprapartidária que visa a mobilizar cidadãos em favor de uma sociedade mais livre, justa e próspera</v>
      </c>
      <c r="D163" s="1">
        <f>IFERROR(__xludf.DUMMYFUNCTION("""COMPUTED_VALUE"""),0.001467804083128432)</f>
        <v>0.001467804083</v>
      </c>
      <c r="E163" s="3">
        <f>IFERROR(__xludf.DUMMYFUNCTION("""COMPUTED_VALUE"""),535073.0)</f>
        <v>535073</v>
      </c>
    </row>
    <row r="164">
      <c r="A164" s="9" t="str">
        <f>IFERROR(__xludf.DUMMYFUNCTION("""COMPUTED_VALUE"""),"World Business Outlook")</f>
        <v>World Business Outlook</v>
      </c>
      <c r="B164" s="1" t="str">
        <f>IFERROR(__xludf.DUMMYFUNCTION("""COMPUTED_VALUE"""),"wboutlook")</f>
        <v>wboutlook</v>
      </c>
      <c r="C164" s="1" t="str">
        <f>IFERROR(__xludf.DUMMYFUNCTION("""COMPUTED_VALUE"""),"World Business outlook is a print and online magazine providing comprehensive coverage and analysis of the financial industry and international business.")</f>
        <v>World Business outlook is a print and online magazine providing comprehensive coverage and analysis of the financial industry and international business.</v>
      </c>
      <c r="D164" s="1">
        <f>IFERROR(__xludf.DUMMYFUNCTION("""COMPUTED_VALUE"""),0.001467804083128432)</f>
        <v>0.001467804083</v>
      </c>
      <c r="E164" s="3">
        <f>IFERROR(__xludf.DUMMYFUNCTION("""COMPUTED_VALUE"""),4636.0)</f>
        <v>4636</v>
      </c>
    </row>
    <row r="165">
      <c r="A165" s="9" t="str">
        <f>IFERROR(__xludf.DUMMYFUNCTION("""COMPUTED_VALUE"""),"Odon Bezerra")</f>
        <v>Odon Bezerra</v>
      </c>
      <c r="B165" s="1" t="str">
        <f>IFERROR(__xludf.DUMMYFUNCTION("""COMPUTED_VALUE"""),"odonbezerraadv")</f>
        <v>odonbezerraadv</v>
      </c>
      <c r="C165" s="1" t="str">
        <f>IFERROR(__xludf.DUMMYFUNCTION("""COMPUTED_VALUE"""),"Um eterno aprendiz")</f>
        <v>Um eterno aprendiz</v>
      </c>
      <c r="D165" s="1">
        <f>IFERROR(__xludf.DUMMYFUNCTION("""COMPUTED_VALUE"""),0.001467804083128432)</f>
        <v>0.001467804083</v>
      </c>
      <c r="E165" s="3">
        <f>IFERROR(__xludf.DUMMYFUNCTION("""COMPUTED_VALUE"""),4802.0)</f>
        <v>4802</v>
      </c>
    </row>
    <row r="166">
      <c r="A166" s="9" t="str">
        <f>IFERROR(__xludf.DUMMYFUNCTION("""COMPUTED_VALUE"""),"Banco do Brasil")</f>
        <v>Banco do Brasil</v>
      </c>
      <c r="B166" s="1" t="str">
        <f>IFERROR(__xludf.DUMMYFUNCTION("""COMPUTED_VALUE"""),"bancodobrasil")</f>
        <v>bancodobrasil</v>
      </c>
      <c r="C166" s="1" t="str">
        <f>IFERROR(__xludf.DUMMYFUNCTION("""COMPUTED_VALUE"""),"Somos o banco que é fã e que apoia o brasileiro a alcançar tudo que imaginar.")</f>
        <v>Somos o banco que é fã e que apoia o brasileiro a alcançar tudo que imaginar.</v>
      </c>
      <c r="D166" s="1">
        <f>IFERROR(__xludf.DUMMYFUNCTION("""COMPUTED_VALUE"""),0.001467804083128432)</f>
        <v>0.001467804083</v>
      </c>
      <c r="E166" s="3">
        <f>IFERROR(__xludf.DUMMYFUNCTION("""COMPUTED_VALUE"""),267788.0)</f>
        <v>267788</v>
      </c>
    </row>
    <row r="167">
      <c r="A167" s="24" t="str">
        <f>IFERROR(__xludf.DUMMYFUNCTION("""COMPUTED_VALUE"""),"Tarcísio Gomes de Freitas")</f>
        <v>Tarcísio Gomes de Freitas</v>
      </c>
      <c r="B167" s="1" t="str">
        <f>IFERROR(__xludf.DUMMYFUNCTION("""COMPUTED_VALUE"""),"tarcisiogdf")</f>
        <v>tarcisiogdf</v>
      </c>
      <c r="C167" s="1" t="str">
        <f>IFERROR(__xludf.DUMMYFUNCTION("""COMPUTED_VALUE"""),"Governador do Estado de São Paulo e ex-Ministro da Infraestrutura do governo do presidente Jair Bolsonaro.")</f>
        <v>Governador do Estado de São Paulo e ex-Ministro da Infraestrutura do governo do presidente Jair Bolsonaro.</v>
      </c>
      <c r="D167" s="1">
        <f>IFERROR(__xludf.DUMMYFUNCTION("""COMPUTED_VALUE"""),0.001467804083128432)</f>
        <v>0.001467804083</v>
      </c>
      <c r="E167" s="3">
        <f>IFERROR(__xludf.DUMMYFUNCTION("""COMPUTED_VALUE"""),2536959.0)</f>
        <v>2536959</v>
      </c>
    </row>
    <row r="168">
      <c r="A168" s="9" t="str">
        <f>IFERROR(__xludf.DUMMYFUNCTION("""COMPUTED_VALUE"""),"Valéria Garcia")</f>
        <v>Valéria Garcia</v>
      </c>
      <c r="B168" s="1" t="str">
        <f>IFERROR(__xludf.DUMMYFUNCTION("""COMPUTED_VALUE"""),"garotacrypto")</f>
        <v>garotacrypto</v>
      </c>
      <c r="C168" s="1" t="str">
        <f>IFERROR(__xludf.DUMMYFUNCTION("""COMPUTED_VALUE"""),"Advogada e investidora de criptomoedas. Lawyer and crypto girl from Brazil! 🇧🇷")</f>
        <v>Advogada e investidora de criptomoedas. Lawyer and crypto girl from Brazil! 🇧🇷</v>
      </c>
      <c r="D168" s="1">
        <f>IFERROR(__xludf.DUMMYFUNCTION("""COMPUTED_VALUE"""),0.001467804083128432)</f>
        <v>0.001467804083</v>
      </c>
      <c r="E168" s="3">
        <f>IFERROR(__xludf.DUMMYFUNCTION("""COMPUTED_VALUE"""),595.0)</f>
        <v>595</v>
      </c>
    </row>
    <row r="169">
      <c r="A169" s="24" t="str">
        <f>IFERROR(__xludf.DUMMYFUNCTION("""COMPUTED_VALUE"""),"Paulo Nogueira Batista Jr.")</f>
        <v>Paulo Nogueira Batista Jr.</v>
      </c>
      <c r="B169" s="1" t="str">
        <f>IFERROR(__xludf.DUMMYFUNCTION("""COMPUTED_VALUE"""),"paulonbjr")</f>
        <v>paulonbjr</v>
      </c>
      <c r="C169" s="1" t="str">
        <f>IFERROR(__xludf.DUMMYFUNCTION("""COMPUTED_VALUE"""),"Economista, escritor, autor do livro “O Brasil não cabe no quintal de ninguém”. Foi vice-presidente do Novo Banco de Desenvolvimento estabelecido pelos Brics.")</f>
        <v>Economista, escritor, autor do livro “O Brasil não cabe no quintal de ninguém”. Foi vice-presidente do Novo Banco de Desenvolvimento estabelecido pelos Brics.</v>
      </c>
      <c r="D169" s="1">
        <f>IFERROR(__xludf.DUMMYFUNCTION("""COMPUTED_VALUE"""),0.001467804083128432)</f>
        <v>0.001467804083</v>
      </c>
      <c r="E169" s="3">
        <f>IFERROR(__xludf.DUMMYFUNCTION("""COMPUTED_VALUE"""),34534.0)</f>
        <v>34534</v>
      </c>
    </row>
    <row r="170">
      <c r="A170" s="9" t="str">
        <f>IFERROR(__xludf.DUMMYFUNCTION("""COMPUTED_VALUE"""),"GMM's")</f>
        <v>GMM's</v>
      </c>
      <c r="B170" s="1" t="str">
        <f>IFERROR(__xludf.DUMMYFUNCTION("""COMPUTED_VALUE"""),"grupomundoms")</f>
        <v>grupomundoms</v>
      </c>
      <c r="C170" s="1" t="str">
        <f>IFERROR(__xludf.DUMMYFUNCTION("""COMPUTED_VALUE"""),"Confira aqui tudo sobre os sites do Grupo @MundoMSOficial ©2011-2023 / Sigam @MultiMidiaInfo ©2017-2023
ANUNCIE:https://t.co/wavFP8GAHq")</f>
        <v>Confira aqui tudo sobre os sites do Grupo @MundoMSOficial ©2011-2023 / Sigam @MultiMidiaInfo ©2017-2023
ANUNCIE:https://t.co/wavFP8GAHq</v>
      </c>
      <c r="D170" s="1">
        <f>IFERROR(__xludf.DUMMYFUNCTION("""COMPUTED_VALUE"""),0.001467804083128432)</f>
        <v>0.001467804083</v>
      </c>
      <c r="E170" s="3">
        <f>IFERROR(__xludf.DUMMYFUNCTION("""COMPUTED_VALUE"""),1011.0)</f>
        <v>1011</v>
      </c>
    </row>
    <row r="171">
      <c r="A171" s="9" t="str">
        <f>IFERROR(__xludf.DUMMYFUNCTION("""COMPUTED_VALUE"""),"juridico pickpocket &amp; borseggiatrici")</f>
        <v>juridico pickpocket &amp; borseggiatrici</v>
      </c>
      <c r="B171" s="1" t="str">
        <f>IFERROR(__xludf.DUMMYFUNCTION("""COMPUTED_VALUE"""),"petayres")</f>
        <v>petayres</v>
      </c>
      <c r="C171" s="1" t="str">
        <f>IFERROR(__xludf.DUMMYFUNCTION("""COMPUTED_VALUE"""),"Editor de vídeo | 28 | Cadelinha da Disney, morador de Westview e ex-New Directions | Opiniões pessoais only 🌈")</f>
        <v>Editor de vídeo | 28 | Cadelinha da Disney, morador de Westview e ex-New Directions | Opiniões pessoais only 🌈</v>
      </c>
      <c r="D171" s="1">
        <f>IFERROR(__xludf.DUMMYFUNCTION("""COMPUTED_VALUE"""),0.001467804083128432)</f>
        <v>0.001467804083</v>
      </c>
      <c r="E171" s="3">
        <f>IFERROR(__xludf.DUMMYFUNCTION("""COMPUTED_VALUE"""),674.0)</f>
        <v>674</v>
      </c>
    </row>
    <row r="172">
      <c r="A172" s="24" t="str">
        <f>IFERROR(__xludf.DUMMYFUNCTION("""COMPUTED_VALUE"""),"Melhor RH")</f>
        <v>Melhor RH</v>
      </c>
      <c r="B172" s="1" t="str">
        <f>IFERROR(__xludf.DUMMYFUNCTION("""COMPUTED_VALUE"""),"melhorrh")</f>
        <v>melhorrh</v>
      </c>
      <c r="C172" s="1" t="str">
        <f>IFERROR(__xludf.DUMMYFUNCTION("""COMPUTED_VALUE"""),"Principal plataforma de conteúdo sobre Recursos Humanos, na Melhor RH conectamos pessoas, causas e propósitos.
https://t.co/2tGSRjjIEG…")</f>
        <v>Principal plataforma de conteúdo sobre Recursos Humanos, na Melhor RH conectamos pessoas, causas e propósitos.
https://t.co/2tGSRjjIEG…</v>
      </c>
      <c r="D172" s="1">
        <f>IFERROR(__xludf.DUMMYFUNCTION("""COMPUTED_VALUE"""),0.001467804083128432)</f>
        <v>0.001467804083</v>
      </c>
      <c r="E172" s="3">
        <f>IFERROR(__xludf.DUMMYFUNCTION("""COMPUTED_VALUE"""),6118.0)</f>
        <v>6118</v>
      </c>
    </row>
    <row r="173">
      <c r="A173" s="33" t="str">
        <f>IFERROR(__xludf.DUMMYFUNCTION("""COMPUTED_VALUE"""),"Rankia.com")</f>
        <v>Rankia.com</v>
      </c>
      <c r="B173" s="1" t="str">
        <f>IFERROR(__xludf.DUMMYFUNCTION("""COMPUTED_VALUE"""),"rankia")</f>
        <v>rankia</v>
      </c>
      <c r="C173" s="1" t="str">
        <f>IFERROR(__xludf.DUMMYFUNCTION("""COMPUTED_VALUE"""),"Te ayudamos a tomar mejores decisiones financieras desde 2003. Comunidad financiera: #Bolsa, #FondosdeInversión #FinanzasPersonales, #EducaciónFinanciera")</f>
        <v>Te ayudamos a tomar mejores decisiones financieras desde 2003. Comunidad financiera: #Bolsa, #FondosdeInversión #FinanzasPersonales, #EducaciónFinanciera</v>
      </c>
      <c r="D173" s="1">
        <f>IFERROR(__xludf.DUMMYFUNCTION("""COMPUTED_VALUE"""),0.001467804083128432)</f>
        <v>0.001467804083</v>
      </c>
      <c r="E173" s="3">
        <f>IFERROR(__xludf.DUMMYFUNCTION("""COMPUTED_VALUE"""),39493.0)</f>
        <v>39493</v>
      </c>
    </row>
    <row r="174">
      <c r="A174" s="9" t="str">
        <f>IFERROR(__xludf.DUMMYFUNCTION("""COMPUTED_VALUE"""),"Lenz")</f>
        <v>Lenz</v>
      </c>
      <c r="B174" s="1" t="str">
        <f>IFERROR(__xludf.DUMMYFUNCTION("""COMPUTED_VALUE"""),"ls_lenz")</f>
        <v>ls_lenz</v>
      </c>
      <c r="C174" s="1"/>
      <c r="D174" s="1">
        <f>IFERROR(__xludf.DUMMYFUNCTION("""COMPUTED_VALUE"""),0.001467804083128432)</f>
        <v>0.001467804083</v>
      </c>
      <c r="E174" s="3">
        <f>IFERROR(__xludf.DUMMYFUNCTION("""COMPUTED_VALUE"""),38.0)</f>
        <v>38</v>
      </c>
    </row>
    <row r="175">
      <c r="A175" s="9" t="str">
        <f>IFERROR(__xludf.DUMMYFUNCTION("""COMPUTED_VALUE"""),"Economista Sincero")</f>
        <v>Economista Sincero</v>
      </c>
      <c r="B175" s="1" t="str">
        <f>IFERROR(__xludf.DUMMYFUNCTION("""COMPUTED_VALUE"""),"mendlowicz")</f>
        <v>mendlowicz</v>
      </c>
      <c r="C175" s="1" t="str">
        <f>IFERROR(__xludf.DUMMYFUNCTION("""COMPUTED_VALUE"""),"🏦 2 x TOP 1 Influenciador de Investimentos do Brasil ANBIMA
👊 Economia sem Enrolação")</f>
        <v>🏦 2 x TOP 1 Influenciador de Investimentos do Brasil ANBIMA
👊 Economia sem Enrolação</v>
      </c>
      <c r="D175" s="1">
        <f>IFERROR(__xludf.DUMMYFUNCTION("""COMPUTED_VALUE"""),0.001467804083128432)</f>
        <v>0.001467804083</v>
      </c>
      <c r="E175" s="3">
        <f>IFERROR(__xludf.DUMMYFUNCTION("""COMPUTED_VALUE"""),150505.0)</f>
        <v>150505</v>
      </c>
    </row>
    <row r="176">
      <c r="A176" s="9" t="str">
        <f>IFERROR(__xludf.DUMMYFUNCTION("""COMPUTED_VALUE"""),"Flyvinho, papagayo drácula")</f>
        <v>Flyvinho, papagayo drácula</v>
      </c>
      <c r="B176" s="1" t="str">
        <f>IFERROR(__xludf.DUMMYFUNCTION("""COMPUTED_VALUE"""),"editoraflyve")</f>
        <v>editoraflyve</v>
      </c>
      <c r="C176" s="1" t="str">
        <f>IFERROR(__xludf.DUMMYFUNCTION("""COMPUTED_VALUE"""),"Aqui é o Flyvinho! Empacotador de livros, entregador, secretário, leitor e auxiliar de marketing na Editora Flyve. Vem voar com a gente! 🎈")</f>
        <v>Aqui é o Flyvinho! Empacotador de livros, entregador, secretário, leitor e auxiliar de marketing na Editora Flyve. Vem voar com a gente! 🎈</v>
      </c>
      <c r="D176" s="1">
        <f>IFERROR(__xludf.DUMMYFUNCTION("""COMPUTED_VALUE"""),0.001467804083128432)</f>
        <v>0.001467804083</v>
      </c>
      <c r="E176" s="3">
        <f>IFERROR(__xludf.DUMMYFUNCTION("""COMPUTED_VALUE"""),375.0)</f>
        <v>375</v>
      </c>
    </row>
    <row r="177">
      <c r="A177" s="24" t="str">
        <f>IFERROR(__xludf.DUMMYFUNCTION("""COMPUTED_VALUE"""),"Roberto Pantoja")</f>
        <v>Roberto Pantoja</v>
      </c>
      <c r="B177" s="1" t="str">
        <f>IFERROR(__xludf.DUMMYFUNCTION("""COMPUTED_VALUE"""),"robertopantojax")</f>
        <v>robertopantojax</v>
      </c>
      <c r="C177" s="1" t="str">
        <f>IFERROR(__xludf.DUMMYFUNCTION("""COMPUTED_VALUE"""),"Cristão ANCAP l Te ajudo a construir uma marca do zero.")</f>
        <v>Cristão ANCAP l Te ajudo a construir uma marca do zero.</v>
      </c>
      <c r="D177" s="1">
        <f>IFERROR(__xludf.DUMMYFUNCTION("""COMPUTED_VALUE"""),0.001467804083128432)</f>
        <v>0.001467804083</v>
      </c>
      <c r="E177" s="3">
        <f>IFERROR(__xludf.DUMMYFUNCTION("""COMPUTED_VALUE"""),2286.0)</f>
        <v>2286</v>
      </c>
    </row>
    <row r="178">
      <c r="A178" s="9" t="str">
        <f>IFERROR(__xludf.DUMMYFUNCTION("""COMPUTED_VALUE"""),"Academia do Dinheiro")</f>
        <v>Academia do Dinheiro</v>
      </c>
      <c r="B178" s="1" t="str">
        <f>IFERROR(__xludf.DUMMYFUNCTION("""COMPUTED_VALUE"""),"calilecalil")</f>
        <v>calilecalil</v>
      </c>
      <c r="C178" s="1" t="str">
        <f>IFERROR(__xludf.DUMMYFUNCTION("""COMPUTED_VALUE"""),"Palestrante, Consultor com + de 1.000 atendimentos, investidor na Bolsa há + de 20 anos. Mestre pela USP,  Autor de best-sellers em finanças pessoais.")</f>
        <v>Palestrante, Consultor com + de 1.000 atendimentos, investidor na Bolsa há + de 20 anos. Mestre pela USP,  Autor de best-sellers em finanças pessoais.</v>
      </c>
      <c r="D178" s="1">
        <f>IFERROR(__xludf.DUMMYFUNCTION("""COMPUTED_VALUE"""),0.001467804083128432)</f>
        <v>0.001467804083</v>
      </c>
      <c r="E178" s="3">
        <f>IFERROR(__xludf.DUMMYFUNCTION("""COMPUTED_VALUE"""),6469.0)</f>
        <v>6469</v>
      </c>
    </row>
    <row r="179">
      <c r="A179" s="9" t="str">
        <f>IFERROR(__xludf.DUMMYFUNCTION("""COMPUTED_VALUE"""),"ana ortiz")</f>
        <v>ana ortiz</v>
      </c>
      <c r="B179" s="1" t="str">
        <f>IFERROR(__xludf.DUMMYFUNCTION("""COMPUTED_VALUE"""),"ortizany")</f>
        <v>ortizany</v>
      </c>
      <c r="C179" s="1"/>
      <c r="D179" s="1">
        <f>IFERROR(__xludf.DUMMYFUNCTION("""COMPUTED_VALUE"""),0.001467804083128432)</f>
        <v>0.001467804083</v>
      </c>
      <c r="E179" s="3">
        <f>IFERROR(__xludf.DUMMYFUNCTION("""COMPUTED_VALUE"""),0.0)</f>
        <v>0</v>
      </c>
    </row>
    <row r="180">
      <c r="A180" s="9" t="str">
        <f>IFERROR(__xludf.DUMMYFUNCTION("""COMPUTED_VALUE"""),"ؘ")</f>
        <v>ؘ</v>
      </c>
      <c r="B180" s="1" t="str">
        <f>IFERROR(__xludf.DUMMYFUNCTION("""COMPUTED_VALUE"""),"wheelercrf")</f>
        <v>wheelercrf</v>
      </c>
      <c r="C180" s="1" t="str">
        <f>IFERROR(__xludf.DUMMYFUNCTION("""COMPUTED_VALUE"""),"will byers swiftie e flamenguista")</f>
        <v>will byers swiftie e flamenguista</v>
      </c>
      <c r="D180" s="1">
        <f>IFERROR(__xludf.DUMMYFUNCTION("""COMPUTED_VALUE"""),0.001467804083128432)</f>
        <v>0.001467804083</v>
      </c>
      <c r="E180" s="3">
        <f>IFERROR(__xludf.DUMMYFUNCTION("""COMPUTED_VALUE"""),266.0)</f>
        <v>266</v>
      </c>
    </row>
    <row r="181">
      <c r="A181" s="24" t="str">
        <f>IFERROR(__xludf.DUMMYFUNCTION("""COMPUTED_VALUE"""),"Revista Oeste")</f>
        <v>Revista Oeste</v>
      </c>
      <c r="B181" s="1" t="str">
        <f>IFERROR(__xludf.DUMMYFUNCTION("""COMPUTED_VALUE"""),"revistaoeste")</f>
        <v>revistaoeste</v>
      </c>
      <c r="C181" s="1"/>
      <c r="D181" s="1">
        <f>IFERROR(__xludf.DUMMYFUNCTION("""COMPUTED_VALUE"""),0.001467804083128432)</f>
        <v>0.001467804083</v>
      </c>
      <c r="E181" s="3">
        <f>IFERROR(__xludf.DUMMYFUNCTION("""COMPUTED_VALUE"""),1181486.0)</f>
        <v>1181486</v>
      </c>
    </row>
    <row r="182">
      <c r="A182" s="9" t="str">
        <f>IFERROR(__xludf.DUMMYFUNCTION("""COMPUTED_VALUE"""),"Paola Carvalho")</f>
        <v>Paola Carvalho</v>
      </c>
      <c r="B182" s="1" t="str">
        <f>IFERROR(__xludf.DUMMYFUNCTION("""COMPUTED_VALUE"""),"paolacarvalho")</f>
        <v>paolacarvalho</v>
      </c>
      <c r="C182" s="1" t="str">
        <f>IFERROR(__xludf.DUMMYFUNCTION("""COMPUTED_VALUE"""),"Escrevo sobre economia, inovação e tendências | Colunista da @claudiaonline, colaboradora @forbesbr, ex @abril @folha @estadodeminas")</f>
        <v>Escrevo sobre economia, inovação e tendências | Colunista da @claudiaonline, colaboradora @forbesbr, ex @abril @folha @estadodeminas</v>
      </c>
      <c r="D182" s="1">
        <f>IFERROR(__xludf.DUMMYFUNCTION("""COMPUTED_VALUE"""),0.001467804083128432)</f>
        <v>0.001467804083</v>
      </c>
      <c r="E182" s="3">
        <f>IFERROR(__xludf.DUMMYFUNCTION("""COMPUTED_VALUE"""),275.0)</f>
        <v>275</v>
      </c>
    </row>
    <row r="183">
      <c r="A183" s="9" t="str">
        <f>IFERROR(__xludf.DUMMYFUNCTION("""COMPUTED_VALUE"""),"dx")</f>
        <v>dx</v>
      </c>
      <c r="B183" s="1" t="str">
        <f>IFERROR(__xludf.DUMMYFUNCTION("""COMPUTED_VALUE"""),"duudaismo")</f>
        <v>duudaismo</v>
      </c>
      <c r="C183" s="1" t="str">
        <f>IFERROR(__xludf.DUMMYFUNCTION("""COMPUTED_VALUE"""),"metade mulher metade chiclete de canela")</f>
        <v>metade mulher metade chiclete de canela</v>
      </c>
      <c r="D183" s="1">
        <f>IFERROR(__xludf.DUMMYFUNCTION("""COMPUTED_VALUE"""),0.001467804083128432)</f>
        <v>0.001467804083</v>
      </c>
      <c r="E183" s="3">
        <f>IFERROR(__xludf.DUMMYFUNCTION("""COMPUTED_VALUE"""),95.0)</f>
        <v>95</v>
      </c>
    </row>
    <row r="184">
      <c r="A184" s="9" t="str">
        <f>IFERROR(__xludf.DUMMYFUNCTION("""COMPUTED_VALUE"""),"Érico Metzner")</f>
        <v>Érico Metzner</v>
      </c>
      <c r="B184" s="1" t="str">
        <f>IFERROR(__xludf.DUMMYFUNCTION("""COMPUTED_VALUE"""),"ericometzner")</f>
        <v>ericometzner</v>
      </c>
      <c r="C184" s="1"/>
      <c r="D184" s="1">
        <f>IFERROR(__xludf.DUMMYFUNCTION("""COMPUTED_VALUE"""),0.001467804083128432)</f>
        <v>0.001467804083</v>
      </c>
      <c r="E184" s="3">
        <f>IFERROR(__xludf.DUMMYFUNCTION("""COMPUTED_VALUE"""),0.0)</f>
        <v>0</v>
      </c>
    </row>
    <row r="185">
      <c r="A185" s="9" t="str">
        <f>IFERROR(__xludf.DUMMYFUNCTION("""COMPUTED_VALUE"""),"Cryptic")</f>
        <v>Cryptic</v>
      </c>
      <c r="B185" s="1" t="str">
        <f>IFERROR(__xludf.DUMMYFUNCTION("""COMPUTED_VALUE"""),"crypticweb3")</f>
        <v>crypticweb3</v>
      </c>
      <c r="C185" s="1" t="str">
        <f>IFERROR(__xludf.DUMMYFUNCTION("""COMPUTED_VALUE"""),"Tudo sobre de Blockchain | Web3 | NFTS | Crypto Memes num sítio só: https://t.co/8KDUOWw3lK")</f>
        <v>Tudo sobre de Blockchain | Web3 | NFTS | Crypto Memes num sítio só: https://t.co/8KDUOWw3lK</v>
      </c>
      <c r="D185" s="1">
        <f>IFERROR(__xludf.DUMMYFUNCTION("""COMPUTED_VALUE"""),0.001467804083128432)</f>
        <v>0.001467804083</v>
      </c>
      <c r="E185" s="3">
        <f>IFERROR(__xludf.DUMMYFUNCTION("""COMPUTED_VALUE"""),6.0)</f>
        <v>6</v>
      </c>
    </row>
    <row r="186">
      <c r="A186" s="9" t="str">
        <f>IFERROR(__xludf.DUMMYFUNCTION("""COMPUTED_VALUE"""),"mozper_br")</f>
        <v>mozper_br</v>
      </c>
      <c r="B186" s="1" t="str">
        <f>IFERROR(__xludf.DUMMYFUNCTION("""COMPUTED_VALUE"""),"mozper_br")</f>
        <v>mozper_br</v>
      </c>
      <c r="C186" s="1" t="str">
        <f>IFERROR(__xludf.DUMMYFUNCTION("""COMPUTED_VALUE"""),"Mais do que um cartão e conta digital para crianças e adolescentes, Mozper apoia os pais na #EducaçãoFinanceira de seus filhos.  #fintech #Brasil #MeuMozper")</f>
        <v>Mais do que um cartão e conta digital para crianças e adolescentes, Mozper apoia os pais na #EducaçãoFinanceira de seus filhos.  #fintech #Brasil #MeuMozper</v>
      </c>
      <c r="D186" s="1">
        <f>IFERROR(__xludf.DUMMYFUNCTION("""COMPUTED_VALUE"""),0.001467804083128432)</f>
        <v>0.001467804083</v>
      </c>
      <c r="E186" s="3">
        <f>IFERROR(__xludf.DUMMYFUNCTION("""COMPUTED_VALUE"""),53.0)</f>
        <v>53</v>
      </c>
    </row>
    <row r="187">
      <c r="A187" s="9" t="str">
        <f>IFERROR(__xludf.DUMMYFUNCTION("""COMPUTED_VALUE"""),"Cassius")</f>
        <v>Cassius</v>
      </c>
      <c r="B187" s="1" t="str">
        <f>IFERROR(__xludf.DUMMYFUNCTION("""COMPUTED_VALUE"""),"cassius")</f>
        <v>cassius</v>
      </c>
      <c r="C187" s="1"/>
      <c r="D187" s="1">
        <f>IFERROR(__xludf.DUMMYFUNCTION("""COMPUTED_VALUE"""),0.001467804083128432)</f>
        <v>0.001467804083</v>
      </c>
      <c r="E187" s="3">
        <f>IFERROR(__xludf.DUMMYFUNCTION("""COMPUTED_VALUE"""),313.0)</f>
        <v>313</v>
      </c>
    </row>
    <row r="188">
      <c r="A188" s="9" t="str">
        <f>IFERROR(__xludf.DUMMYFUNCTION("""COMPUTED_VALUE"""),"Euclides Francisco")</f>
        <v>Euclides Francisco</v>
      </c>
      <c r="B188" s="1" t="str">
        <f>IFERROR(__xludf.DUMMYFUNCTION("""COMPUTED_VALUE"""),"eucli_francisco")</f>
        <v>eucli_francisco</v>
      </c>
      <c r="C188" s="1" t="str">
        <f>IFERROR(__xludf.DUMMYFUNCTION("""COMPUTED_VALUE"""),"📊 Empreendedor | Educador financeiro | Investidor")</f>
        <v>📊 Empreendedor | Educador financeiro | Investidor</v>
      </c>
      <c r="D188" s="1">
        <f>IFERROR(__xludf.DUMMYFUNCTION("""COMPUTED_VALUE"""),0.001467804083128432)</f>
        <v>0.001467804083</v>
      </c>
      <c r="E188" s="3">
        <f>IFERROR(__xludf.DUMMYFUNCTION("""COMPUTED_VALUE"""),7368.0)</f>
        <v>7368</v>
      </c>
    </row>
    <row r="189">
      <c r="A189" s="9" t="str">
        <f>IFERROR(__xludf.DUMMYFUNCTION("""COMPUTED_VALUE"""),"Gretta 🏳️‍🌈")</f>
        <v>Gretta 🏳️‍🌈</v>
      </c>
      <c r="B189" s="1" t="str">
        <f>IFERROR(__xludf.DUMMYFUNCTION("""COMPUTED_VALUE"""),"bixarica_")</f>
        <v>bixarica_</v>
      </c>
      <c r="C189" s="1" t="str">
        <f>IFERROR(__xludf.DUMMYFUNCTION("""COMPUTED_VALUE"""),"Educadora Financeira na empresa Bixa Rica")</f>
        <v>Educadora Financeira na empresa Bixa Rica</v>
      </c>
      <c r="D189" s="1">
        <f>IFERROR(__xludf.DUMMYFUNCTION("""COMPUTED_VALUE"""),0.001467804083128432)</f>
        <v>0.001467804083</v>
      </c>
      <c r="E189" s="3">
        <f>IFERROR(__xludf.DUMMYFUNCTION("""COMPUTED_VALUE"""),177.0)</f>
        <v>177</v>
      </c>
    </row>
    <row r="190">
      <c r="A190" s="24" t="str">
        <f>IFERROR(__xludf.DUMMYFUNCTION("""COMPUTED_VALUE"""),"SEEDUC RJ")</f>
        <v>SEEDUC RJ</v>
      </c>
      <c r="B190" s="1" t="str">
        <f>IFERROR(__xludf.DUMMYFUNCTION("""COMPUTED_VALUE"""),"seeducrj")</f>
        <v>seeducrj</v>
      </c>
      <c r="C190" s="1" t="str">
        <f>IFERROR(__xludf.DUMMYFUNCTION("""COMPUTED_VALUE"""),"Secretaria de Estado de Educação do Rio de Janeiro - Seeduc RJ")</f>
        <v>Secretaria de Estado de Educação do Rio de Janeiro - Seeduc RJ</v>
      </c>
      <c r="D190" s="1">
        <f>IFERROR(__xludf.DUMMYFUNCTION("""COMPUTED_VALUE"""),0.001467804083128432)</f>
        <v>0.001467804083</v>
      </c>
      <c r="E190" s="3">
        <f>IFERROR(__xludf.DUMMYFUNCTION("""COMPUTED_VALUE"""),1565.0)</f>
        <v>1565</v>
      </c>
    </row>
    <row r="191">
      <c r="A191" s="9" t="str">
        <f>IFERROR(__xludf.DUMMYFUNCTION("""COMPUTED_VALUE"""),"ANQEP")</f>
        <v>ANQEP</v>
      </c>
      <c r="B191" s="1" t="str">
        <f>IFERROR(__xludf.DUMMYFUNCTION("""COMPUTED_VALUE"""),"anqep")</f>
        <v>anqep</v>
      </c>
      <c r="C191" s="1" t="str">
        <f>IFERROR(__xludf.DUMMYFUNCTION("""COMPUTED_VALUE"""),"A ANQEP, I.P. tem por missão coordenar a execução das políticas de educação e formação profissional de jovens e adultos")</f>
        <v>A ANQEP, I.P. tem por missão coordenar a execução das políticas de educação e formação profissional de jovens e adultos</v>
      </c>
      <c r="D191" s="1">
        <f>IFERROR(__xludf.DUMMYFUNCTION("""COMPUTED_VALUE"""),0.001467804083128432)</f>
        <v>0.001467804083</v>
      </c>
      <c r="E191" s="3">
        <f>IFERROR(__xludf.DUMMYFUNCTION("""COMPUTED_VALUE"""),688.0)</f>
        <v>688</v>
      </c>
    </row>
    <row r="192">
      <c r="A192" s="9" t="str">
        <f>IFERROR(__xludf.DUMMYFUNCTION("""COMPUTED_VALUE"""),"Central Nath Finanças")</f>
        <v>Central Nath Finanças</v>
      </c>
      <c r="B192" s="1" t="str">
        <f>IFERROR(__xludf.DUMMYFUNCTION("""COMPUTED_VALUE"""),"centralnath")</f>
        <v>centralnath</v>
      </c>
      <c r="C192" s="1" t="str">
        <f>IFERROR(__xludf.DUMMYFUNCTION("""COMPUTED_VALUE"""),"Sua fonte oficial de notícias sobre a orientadora financeira @nathfinancas. Tem alguma dúvida? Chama a gente! | adm por #EquipeNathFinancas 💜💰")</f>
        <v>Sua fonte oficial de notícias sobre a orientadora financeira @nathfinancas. Tem alguma dúvida? Chama a gente! | adm por #EquipeNathFinancas 💜💰</v>
      </c>
      <c r="D192" s="1">
        <f>IFERROR(__xludf.DUMMYFUNCTION("""COMPUTED_VALUE"""),0.001467804083128432)</f>
        <v>0.001467804083</v>
      </c>
      <c r="E192" s="3">
        <f>IFERROR(__xludf.DUMMYFUNCTION("""COMPUTED_VALUE"""),51628.0)</f>
        <v>51628</v>
      </c>
    </row>
    <row r="193">
      <c r="A193" s="24" t="str">
        <f>IFERROR(__xludf.DUMMYFUNCTION("""COMPUTED_VALUE"""),"Lina Seiche")</f>
        <v>Lina Seiche</v>
      </c>
      <c r="B193" s="1" t="str">
        <f>IFERROR(__xludf.DUMMYFUNCTION("""COMPUTED_VALUE"""),"linaseiche")</f>
        <v>linaseiche</v>
      </c>
      <c r="C193" s="1" t="str">
        <f>IFERROR(__xludf.DUMMYFUNCTION("""COMPUTED_VALUE"""),"Mommy of #TheLittleHODLer and his comics 🧡 HODLers, comic books &amp; more on my store 🎁 Travels: @TravelingHODLer 🧳 #LittleHODLer’s best friend: @Trezor 💚")</f>
        <v>Mommy of #TheLittleHODLer and his comics 🧡 HODLers, comic books &amp; more on my store 🎁 Travels: @TravelingHODLer 🧳 #LittleHODLer’s best friend: @Trezor 💚</v>
      </c>
      <c r="D193" s="1">
        <f>IFERROR(__xludf.DUMMYFUNCTION("""COMPUTED_VALUE"""),0.0013520792449735755)</f>
        <v>0.001352079245</v>
      </c>
      <c r="E193" s="3">
        <f>IFERROR(__xludf.DUMMYFUNCTION("""COMPUTED_VALUE"""),91066.0)</f>
        <v>91066</v>
      </c>
    </row>
    <row r="194">
      <c r="A194" s="24" t="str">
        <f>IFERROR(__xludf.DUMMYFUNCTION("""COMPUTED_VALUE"""),"Jornal da Gazeta")</f>
        <v>Jornal da Gazeta</v>
      </c>
      <c r="B194" s="1" t="str">
        <f>IFERROR(__xludf.DUMMYFUNCTION("""COMPUTED_VALUE"""),"jornaldagazeta")</f>
        <v>jornaldagazeta</v>
      </c>
      <c r="C194" s="1" t="str">
        <f>IFERROR(__xludf.DUMMYFUNCTION("""COMPUTED_VALUE"""),"Jornal da Gazeta. De segunda a sexta, às 19h, ao vivo na TV Gazeta.")</f>
        <v>Jornal da Gazeta. De segunda a sexta, às 19h, ao vivo na TV Gazeta.</v>
      </c>
      <c r="D194" s="1">
        <f>IFERROR(__xludf.DUMMYFUNCTION("""COMPUTED_VALUE"""),0.0012430052595862398)</f>
        <v>0.00124300526</v>
      </c>
      <c r="E194" s="3">
        <f>IFERROR(__xludf.DUMMYFUNCTION("""COMPUTED_VALUE"""),14353.0)</f>
        <v>14353</v>
      </c>
    </row>
    <row r="195">
      <c r="A195" s="24" t="str">
        <f>IFERROR(__xludf.DUMMYFUNCTION("""COMPUTED_VALUE"""),"GloboNews")</f>
        <v>GloboNews</v>
      </c>
      <c r="B195" s="1" t="str">
        <f>IFERROR(__xludf.DUMMYFUNCTION("""COMPUTED_VALUE"""),"globonews")</f>
        <v>globonews</v>
      </c>
      <c r="C195" s="1" t="str">
        <f>IFERROR(__xludf.DUMMYFUNCTION("""COMPUTED_VALUE"""),"Nunca desliga")</f>
        <v>Nunca desliga</v>
      </c>
      <c r="D195" s="1">
        <f>IFERROR(__xludf.DUMMYFUNCTION("""COMPUTED_VALUE"""),0.0012370895010719713)</f>
        <v>0.001237089501</v>
      </c>
      <c r="E195" s="3">
        <f>IFERROR(__xludf.DUMMYFUNCTION("""COMPUTED_VALUE"""),5726427.0)</f>
        <v>5726427</v>
      </c>
    </row>
    <row r="196">
      <c r="A196" s="9" t="str">
        <f>IFERROR(__xludf.DUMMYFUNCTION("""COMPUTED_VALUE"""),"Gustavo Cerbasi")</f>
        <v>Gustavo Cerbasi</v>
      </c>
      <c r="B196" s="1" t="str">
        <f>IFERROR(__xludf.DUMMYFUNCTION("""COMPUTED_VALUE"""),"gcerbasi")</f>
        <v>gcerbasi</v>
      </c>
      <c r="C196" s="1" t="str">
        <f>IFERROR(__xludf.DUMMYFUNCTION("""COMPUTED_VALUE"""),"Inteligência Financeira é pensar sua riqueza de maneira diferente! /Facebook Gustavo Cerbasi /Instagram GustavoCerbasi / YouTube Gustavo Cerbasi")</f>
        <v>Inteligência Financeira é pensar sua riqueza de maneira diferente! /Facebook Gustavo Cerbasi /Instagram GustavoCerbasi / YouTube Gustavo Cerbasi</v>
      </c>
      <c r="D196" s="1">
        <f>IFERROR(__xludf.DUMMYFUNCTION("""COMPUTED_VALUE"""),0.0011787770242884705)</f>
        <v>0.001178777024</v>
      </c>
      <c r="E196" s="3">
        <f>IFERROR(__xludf.DUMMYFUNCTION("""COMPUTED_VALUE"""),103626.0)</f>
        <v>103626</v>
      </c>
    </row>
    <row r="197">
      <c r="A197" s="24" t="str">
        <f>IFERROR(__xludf.DUMMYFUNCTION("""COMPUTED_VALUE"""),"NewsColina")</f>
        <v>NewsColina</v>
      </c>
      <c r="B197" s="1" t="str">
        <f>IFERROR(__xludf.DUMMYFUNCTION("""COMPUTED_VALUE"""),"newscolina")</f>
        <v>newscolina</v>
      </c>
      <c r="C197" s="1" t="str">
        <f>IFERROR(__xludf.DUMMYFUNCTION("""COMPUTED_VALUE"""),"O maior portal do Twitter sobre o Vasco da Gama | Contato e publicidade: newscolina@gmail.com 📨 | Parceiro @KTO_Brasil 🤝")</f>
        <v>O maior portal do Twitter sobre o Vasco da Gama | Contato e publicidade: newscolina@gmail.com 📨 | Parceiro @KTO_Brasil 🤝</v>
      </c>
      <c r="D197" s="1">
        <f>IFERROR(__xludf.DUMMYFUNCTION("""COMPUTED_VALUE"""),0.0011306058478151436)</f>
        <v>0.001130605848</v>
      </c>
      <c r="E197" s="3">
        <f>IFERROR(__xludf.DUMMYFUNCTION("""COMPUTED_VALUE"""),201673.0)</f>
        <v>201673</v>
      </c>
    </row>
    <row r="198">
      <c r="A198" s="9" t="str">
        <f>IFERROR(__xludf.DUMMYFUNCTION("""COMPUTED_VALUE"""),"Correio do Povo GRC")</f>
        <v>Correio do Povo GRC</v>
      </c>
      <c r="B198" s="1" t="str">
        <f>IFERROR(__xludf.DUMMYFUNCTION("""COMPUTED_VALUE"""),"jcorreiodopovo")</f>
        <v>jcorreiodopovo</v>
      </c>
      <c r="C198" s="1" t="str">
        <f>IFERROR(__xludf.DUMMYFUNCTION("""COMPUTED_VALUE"""),"Distribuição Gratuita Mogi Guaçu e Mogi Mirim!!! Todos os Sábados nas bancas e pontos de distribuição!")</f>
        <v>Distribuição Gratuita Mogi Guaçu e Mogi Mirim!!! Todos os Sábados nas bancas e pontos de distribuição!</v>
      </c>
      <c r="D198" s="1">
        <f>IFERROR(__xludf.DUMMYFUNCTION("""COMPUTED_VALUE"""),0.0011306058478151436)</f>
        <v>0.001130605848</v>
      </c>
      <c r="E198" s="3">
        <f>IFERROR(__xludf.DUMMYFUNCTION("""COMPUTED_VALUE"""),11.0)</f>
        <v>11</v>
      </c>
    </row>
    <row r="199">
      <c r="A199" s="9" t="str">
        <f>IFERROR(__xludf.DUMMYFUNCTION("""COMPUTED_VALUE"""),"OBECON 🇧🇷 — Olimpíada Brasileira de Economia")</f>
        <v>OBECON 🇧🇷 — Olimpíada Brasileira de Economia</v>
      </c>
      <c r="B199" s="1" t="str">
        <f>IFERROR(__xludf.DUMMYFUNCTION("""COMPUTED_VALUE"""),"obeconomia")</f>
        <v>obeconomia</v>
      </c>
      <c r="C199" s="1" t="str">
        <f>IFERROR(__xludf.DUMMYFUNCTION("""COMPUTED_VALUE"""),"Olimpíada para Ensino Médio.
Fomentamos o ensino de Economia, Finanças, e Negócios.
Selecionamos para a IEO:
🥉2018
🥇2019
🥇2020
🥇2021
🥈2022")</f>
        <v>Olimpíada para Ensino Médio.
Fomentamos o ensino de Economia, Finanças, e Negócios.
Selecionamos para a IEO:
🥉2018
🥇2019
🥇2020
🥇2021
🥈2022</v>
      </c>
      <c r="D199" s="1">
        <f>IFERROR(__xludf.DUMMYFUNCTION("""COMPUTED_VALUE"""),0.0011306058478151436)</f>
        <v>0.001130605848</v>
      </c>
      <c r="E199" s="3">
        <f>IFERROR(__xludf.DUMMYFUNCTION("""COMPUTED_VALUE"""),1057.0)</f>
        <v>1057</v>
      </c>
    </row>
    <row r="200">
      <c r="A200" s="24" t="str">
        <f>IFERROR(__xludf.DUMMYFUNCTION("""COMPUTED_VALUE"""),"Cesar Tralli")</f>
        <v>Cesar Tralli</v>
      </c>
      <c r="B200" s="1" t="str">
        <f>IFERROR(__xludf.DUMMYFUNCTION("""COMPUTED_VALUE"""),"cesartralli")</f>
        <v>cesartralli</v>
      </c>
      <c r="C200" s="1" t="str">
        <f>IFERROR(__xludf.DUMMYFUNCTION("""COMPUTED_VALUE"""),"Jornalista. Apresentador do JH, na TV Globo. E do Edição das 18h, na Globonews. Repórter em tempo integral. 📺")</f>
        <v>Jornalista. Apresentador do JH, na TV Globo. E do Edição das 18h, na Globonews. Repórter em tempo integral. 📺</v>
      </c>
      <c r="D200" s="1">
        <f>IFERROR(__xludf.DUMMYFUNCTION("""COMPUTED_VALUE"""),0.0011306058478151436)</f>
        <v>0.001130605848</v>
      </c>
      <c r="E200" s="3">
        <f>IFERROR(__xludf.DUMMYFUNCTION("""COMPUTED_VALUE"""),1197888.0)</f>
        <v>1197888</v>
      </c>
    </row>
    <row r="201">
      <c r="A201" s="24" t="str">
        <f>IFERROR(__xludf.DUMMYFUNCTION("""COMPUTED_VALUE"""),"vivo")</f>
        <v>vivo</v>
      </c>
      <c r="B201" s="1" t="str">
        <f>IFERROR(__xludf.DUMMYFUNCTION("""COMPUTED_VALUE"""),"vivo")</f>
        <v>vivo</v>
      </c>
      <c r="C201" s="1"/>
      <c r="D201" s="1">
        <f>IFERROR(__xludf.DUMMYFUNCTION("""COMPUTED_VALUE"""),0.0011306058478151436)</f>
        <v>0.001130605848</v>
      </c>
      <c r="E201" s="3">
        <f>IFERROR(__xludf.DUMMYFUNCTION("""COMPUTED_VALUE"""),1082.0)</f>
        <v>1082</v>
      </c>
    </row>
    <row r="202">
      <c r="A202" s="24" t="str">
        <f>IFERROR(__xludf.DUMMYFUNCTION("""COMPUTED_VALUE"""),"Serpro")</f>
        <v>Serpro</v>
      </c>
      <c r="B202" s="1" t="str">
        <f>IFERROR(__xludf.DUMMYFUNCTION("""COMPUTED_VALUE"""),"serpro")</f>
        <v>serpro</v>
      </c>
      <c r="C202" s="1" t="str">
        <f>IFERROR(__xludf.DUMMYFUNCTION("""COMPUTED_VALUE"""),"O Serviço Federal de Processamento de Dados é uma empresa pública de Tecnologia da Informação criada para modernizar e dar agilidade ao Estado brasileiro")</f>
        <v>O Serviço Federal de Processamento de Dados é uma empresa pública de Tecnologia da Informação criada para modernizar e dar agilidade ao Estado brasileiro</v>
      </c>
      <c r="D202" s="1">
        <f>IFERROR(__xludf.DUMMYFUNCTION("""COMPUTED_VALUE"""),0.0011306058478151436)</f>
        <v>0.001130605848</v>
      </c>
      <c r="E202" s="3">
        <f>IFERROR(__xludf.DUMMYFUNCTION("""COMPUTED_VALUE"""),22203.0)</f>
        <v>22203</v>
      </c>
    </row>
    <row r="203">
      <c r="A203" s="9" t="str">
        <f>IFERROR(__xludf.DUMMYFUNCTION("""COMPUTED_VALUE"""),"Jornal de Negócios")</f>
        <v>Jornal de Negócios</v>
      </c>
      <c r="B203" s="1" t="str">
        <f>IFERROR(__xludf.DUMMYFUNCTION("""COMPUTED_VALUE"""),"jnegocios")</f>
        <v>jnegocios</v>
      </c>
      <c r="C203" s="1" t="str">
        <f>IFERROR(__xludf.DUMMYFUNCTION("""COMPUTED_VALUE"""),"As #notícias mais relevantes nas áreas da #Economia, #Empresas e #Mercados. O Negócios tem as respostas: On time. On line. Nas bancas. Em qualquer lugar.")</f>
        <v>As #notícias mais relevantes nas áreas da #Economia, #Empresas e #Mercados. O Negócios tem as respostas: On time. On line. Nas bancas. Em qualquer lugar.</v>
      </c>
      <c r="D203" s="1">
        <f>IFERROR(__xludf.DUMMYFUNCTION("""COMPUTED_VALUE"""),0.0011306058478151436)</f>
        <v>0.001130605848</v>
      </c>
      <c r="E203" s="3">
        <f>IFERROR(__xludf.DUMMYFUNCTION("""COMPUTED_VALUE"""),206317.0)</f>
        <v>206317</v>
      </c>
    </row>
    <row r="204">
      <c r="A204" s="24" t="str">
        <f>IFERROR(__xludf.DUMMYFUNCTION("""COMPUTED_VALUE"""),"SIC Notícias")</f>
        <v>SIC Notícias</v>
      </c>
      <c r="B204" s="1" t="str">
        <f>IFERROR(__xludf.DUMMYFUNCTION("""COMPUTED_VALUE"""),"sicnoticias")</f>
        <v>sicnoticias</v>
      </c>
      <c r="C204" s="1" t="str">
        <f>IFERROR(__xludf.DUMMYFUNCTION("""COMPUTED_VALUE"""),"O como e o porquê das notícias de #ultimahora, a análise e a #opiniao que interessa. Siga #portugal e o mundo com a #sicnoticias")</f>
        <v>O como e o porquê das notícias de #ultimahora, a análise e a #opiniao que interessa. Siga #portugal e o mundo com a #sicnoticias</v>
      </c>
      <c r="D204" s="1">
        <f>IFERROR(__xludf.DUMMYFUNCTION("""COMPUTED_VALUE"""),0.0011306058478151436)</f>
        <v>0.001130605848</v>
      </c>
      <c r="E204" s="3">
        <f>IFERROR(__xludf.DUMMYFUNCTION("""COMPUTED_VALUE"""),1043189.0)</f>
        <v>1043189</v>
      </c>
    </row>
    <row r="205">
      <c r="A205" s="24" t="str">
        <f>IFERROR(__xludf.DUMMYFUNCTION("""COMPUTED_VALUE"""),"Governo de S. Paulo")</f>
        <v>Governo de S. Paulo</v>
      </c>
      <c r="B205" s="1" t="str">
        <f>IFERROR(__xludf.DUMMYFUNCTION("""COMPUTED_VALUE"""),"governosp")</f>
        <v>governosp</v>
      </c>
      <c r="C205" s="1" t="str">
        <f>IFERROR(__xludf.DUMMYFUNCTION("""COMPUTED_VALUE"""),"Twitter Oficial do Governo do Estado de São Paulo")</f>
        <v>Twitter Oficial do Governo do Estado de São Paulo</v>
      </c>
      <c r="D205" s="1">
        <f>IFERROR(__xludf.DUMMYFUNCTION("""COMPUTED_VALUE"""),0.0011306058478151436)</f>
        <v>0.001130605848</v>
      </c>
      <c r="E205" s="3">
        <f>IFERROR(__xludf.DUMMYFUNCTION("""COMPUTED_VALUE"""),550623.0)</f>
        <v>550623</v>
      </c>
    </row>
    <row r="206">
      <c r="A206" s="24" t="str">
        <f>IFERROR(__xludf.DUMMYFUNCTION("""COMPUTED_VALUE"""),"Disney")</f>
        <v>Disney</v>
      </c>
      <c r="B206" s="1" t="str">
        <f>IFERROR(__xludf.DUMMYFUNCTION("""COMPUTED_VALUE"""),"disney")</f>
        <v>disney</v>
      </c>
      <c r="C206" s="1" t="str">
        <f>IFERROR(__xludf.DUMMYFUNCTION("""COMPUTED_VALUE"""),"Disney magic right at your fingertips! ✨")</f>
        <v>Disney magic right at your fingertips! ✨</v>
      </c>
      <c r="D206" s="1">
        <f>IFERROR(__xludf.DUMMYFUNCTION("""COMPUTED_VALUE"""),0.0011306058478151436)</f>
        <v>0.001130605848</v>
      </c>
      <c r="E206" s="3">
        <f>IFERROR(__xludf.DUMMYFUNCTION("""COMPUTED_VALUE"""),1.0366482E7)</f>
        <v>10366482</v>
      </c>
    </row>
    <row r="207">
      <c r="A207" s="24" t="str">
        <f>IFERROR(__xludf.DUMMYFUNCTION("""COMPUTED_VALUE"""),"Disney+ Brasil")</f>
        <v>Disney+ Brasil</v>
      </c>
      <c r="B207" s="1" t="str">
        <f>IFERROR(__xludf.DUMMYFUNCTION("""COMPUTED_VALUE"""),"disneyplusbr")</f>
        <v>disneyplusbr</v>
      </c>
      <c r="C207" s="1" t="str">
        <f>IFERROR(__xludf.DUMMYFUNCTION("""COMPUTED_VALUE"""),"Disney + Pixar + Marvel + Star Wars + National Geographic = #DisneyPlus 🤯
As melhores histórias do mundo em um só lugar. Já disponível.")</f>
        <v>Disney + Pixar + Marvel + Star Wars + National Geographic = #DisneyPlus 🤯
As melhores histórias do mundo em um só lugar. Já disponível.</v>
      </c>
      <c r="D207" s="1">
        <f>IFERROR(__xludf.DUMMYFUNCTION("""COMPUTED_VALUE"""),0.0011306058478151436)</f>
        <v>0.001130605848</v>
      </c>
      <c r="E207" s="3">
        <f>IFERROR(__xludf.DUMMYFUNCTION("""COMPUTED_VALUE"""),1871483.0)</f>
        <v>1871483</v>
      </c>
    </row>
    <row r="208">
      <c r="A208" s="24" t="str">
        <f>IFERROR(__xludf.DUMMYFUNCTION("""COMPUTED_VALUE"""),"Vasco da Gama")</f>
        <v>Vasco da Gama</v>
      </c>
      <c r="B208" s="1" t="str">
        <f>IFERROR(__xludf.DUMMYFUNCTION("""COMPUTED_VALUE"""),"vascodagama")</f>
        <v>vascodagama</v>
      </c>
      <c r="C208" s="1" t="str">
        <f>IFERROR(__xludf.DUMMYFUNCTION("""COMPUTED_VALUE"""),"Primeiro Campeão Continental do Mundo. 🏆💢 Todos os nossos perfis nas redes e iniciativas digitais. https://t.co/j1jZKOLWZy")</f>
        <v>Primeiro Campeão Continental do Mundo. 🏆💢 Todos os nossos perfis nas redes e iniciativas digitais. https://t.co/j1jZKOLWZy</v>
      </c>
      <c r="D208" s="1">
        <f>IFERROR(__xludf.DUMMYFUNCTION("""COMPUTED_VALUE"""),0.0011306058478151436)</f>
        <v>0.001130605848</v>
      </c>
      <c r="E208" s="3">
        <f>IFERROR(__xludf.DUMMYFUNCTION("""COMPUTED_VALUE"""),2715277.0)</f>
        <v>2715277</v>
      </c>
    </row>
    <row r="209">
      <c r="A209" s="24" t="str">
        <f>IFERROR(__xludf.DUMMYFUNCTION("""COMPUTED_VALUE"""),"Red de Justicia Fiscal ALC")</f>
        <v>Red de Justicia Fiscal ALC</v>
      </c>
      <c r="B209" s="1" t="str">
        <f>IFERROR(__xludf.DUMMYFUNCTION("""COMPUTED_VALUE"""),"justiciafiscal")</f>
        <v>justiciafiscal</v>
      </c>
      <c r="C209" s="1" t="str">
        <f>IFERROR(__xludf.DUMMYFUNCTION("""COMPUTED_VALUE"""),"La #RJFALC busca fortalecer la acción de nuestros miembros, estimular intercambios de experiencias y propiciar la acción colectiva hacia un nuevo modelo fiscal.")</f>
        <v>La #RJFALC busca fortalecer la acción de nuestros miembros, estimular intercambios de experiencias y propiciar la acción colectiva hacia un nuevo modelo fiscal.</v>
      </c>
      <c r="D209" s="1">
        <f>IFERROR(__xludf.DUMMYFUNCTION("""COMPUTED_VALUE"""),0.001105315980166647)</f>
        <v>0.00110531598</v>
      </c>
      <c r="E209" s="3">
        <f>IFERROR(__xludf.DUMMYFUNCTION("""COMPUTED_VALUE"""),2303.0)</f>
        <v>2303</v>
      </c>
    </row>
    <row r="210">
      <c r="A210" s="9" t="str">
        <f>IFERROR(__xludf.DUMMYFUNCTION("""COMPUTED_VALUE"""),"Inst. Justiça Fiscal")</f>
        <v>Inst. Justiça Fiscal</v>
      </c>
      <c r="B210" s="1" t="str">
        <f>IFERROR(__xludf.DUMMYFUNCTION("""COMPUTED_VALUE"""),"ijfiscal")</f>
        <v>ijfiscal</v>
      </c>
      <c r="C210" s="1" t="str">
        <f>IFERROR(__xludf.DUMMYFUNCTION("""COMPUTED_VALUE"""),"O IJF tem por finalidade o aperfeiçoamento do sistema fiscal com vistas a torná-lo mais justo e capaz de contribuir para a redução das desigualdades sociais.")</f>
        <v>O IJF tem por finalidade o aperfeiçoamento do sistema fiscal com vistas a torná-lo mais justo e capaz de contribuir para a redução das desigualdades sociais.</v>
      </c>
      <c r="D210" s="1">
        <f>IFERROR(__xludf.DUMMYFUNCTION("""COMPUTED_VALUE"""),0.001105315980166647)</f>
        <v>0.00110531598</v>
      </c>
      <c r="E210" s="3">
        <f>IFERROR(__xludf.DUMMYFUNCTION("""COMPUTED_VALUE"""),866.0)</f>
        <v>866</v>
      </c>
    </row>
    <row r="211">
      <c r="A211" s="9" t="str">
        <f>IFERROR(__xludf.DUMMYFUNCTION("""COMPUTED_VALUE"""),"Afocefe Sindicato")</f>
        <v>Afocefe Sindicato</v>
      </c>
      <c r="B211" s="1" t="str">
        <f>IFERROR(__xludf.DUMMYFUNCTION("""COMPUTED_VALUE"""),"afocefe")</f>
        <v>afocefe</v>
      </c>
      <c r="C211" s="1" t="str">
        <f>IFERROR(__xludf.DUMMYFUNCTION("""COMPUTED_VALUE"""),"Sindicato dos Técnicos Tributários da Receita Estadual")</f>
        <v>Sindicato dos Técnicos Tributários da Receita Estadual</v>
      </c>
      <c r="D211" s="1">
        <f>IFERROR(__xludf.DUMMYFUNCTION("""COMPUTED_VALUE"""),0.001105315980166647)</f>
        <v>0.00110531598</v>
      </c>
      <c r="E211" s="3">
        <f>IFERROR(__xludf.DUMMYFUNCTION("""COMPUTED_VALUE"""),535.0)</f>
        <v>535</v>
      </c>
    </row>
    <row r="212">
      <c r="A212" s="9" t="str">
        <f>IFERROR(__xludf.DUMMYFUNCTION("""COMPUTED_VALUE"""),"Inesc")</f>
        <v>Inesc</v>
      </c>
      <c r="B212" s="1" t="str">
        <f>IFERROR(__xludf.DUMMYFUNCTION("""COMPUTED_VALUE"""),"inescoficial")</f>
        <v>inescoficial</v>
      </c>
      <c r="C212" s="1" t="str">
        <f>IFERROR(__xludf.DUMMYFUNCTION("""COMPUTED_VALUE"""),"Há 44 anos, atuamos no monitoramento do #orçamentopúblico sob a ótica dos #direitoshumanos.")</f>
        <v>Há 44 anos, atuamos no monitoramento do #orçamentopúblico sob a ótica dos #direitoshumanos.</v>
      </c>
      <c r="D212" s="1">
        <f>IFERROR(__xludf.DUMMYFUNCTION("""COMPUTED_VALUE"""),0.001105315980166647)</f>
        <v>0.00110531598</v>
      </c>
      <c r="E212" s="3">
        <f>IFERROR(__xludf.DUMMYFUNCTION("""COMPUTED_VALUE"""),7785.0)</f>
        <v>7785</v>
      </c>
    </row>
    <row r="213">
      <c r="A213" s="9" t="str">
        <f>IFERROR(__xludf.DUMMYFUNCTION("""COMPUTED_VALUE"""),"Otavio (Tavi) Costa")</f>
        <v>Otavio (Tavi) Costa</v>
      </c>
      <c r="B213" s="1" t="str">
        <f>IFERROR(__xludf.DUMMYFUNCTION("""COMPUTED_VALUE"""),"tavicosta")</f>
        <v>tavicosta</v>
      </c>
      <c r="C213" s="1" t="str">
        <f>IFERROR(__xludf.DUMMYFUNCTION("""COMPUTED_VALUE"""),"Crescat Capital partner &amp; macro strategist. Native of Sao Paulo, Brazil 🇧https://t.co/YApL3RgjR8")</f>
        <v>Crescat Capital partner &amp; macro strategist. Native of Sao Paulo, Brazil 🇧https://t.co/YApL3RgjR8</v>
      </c>
      <c r="D213" s="1">
        <f>IFERROR(__xludf.DUMMYFUNCTION("""COMPUTED_VALUE"""),0.0011011170287573274)</f>
        <v>0.001101117029</v>
      </c>
      <c r="E213" s="3">
        <f>IFERROR(__xludf.DUMMYFUNCTION("""COMPUTED_VALUE"""),198675.0)</f>
        <v>198675</v>
      </c>
    </row>
    <row r="214">
      <c r="A214" s="9" t="str">
        <f>IFERROR(__xludf.DUMMYFUNCTION("""COMPUTED_VALUE"""),"Crescat Capital")</f>
        <v>Crescat Capital</v>
      </c>
      <c r="B214" s="1" t="str">
        <f>IFERROR(__xludf.DUMMYFUNCTION("""COMPUTED_VALUE"""),"crescat_capital")</f>
        <v>crescat_capital</v>
      </c>
      <c r="C214" s="1" t="str">
        <f>IFERROR(__xludf.DUMMYFUNCTION("""COMPUTED_VALUE"""),"Crescat is a global macro asset management firm. We strive to grow and protect wealth over time with low correlation to the S&amp;P 500. https://t.co/kw7etanXt4")</f>
        <v>Crescat is a global macro asset management firm. We strive to grow and protect wealth over time with low correlation to the S&amp;P 500. https://t.co/kw7etanXt4</v>
      </c>
      <c r="D214" s="1">
        <f>IFERROR(__xludf.DUMMYFUNCTION("""COMPUTED_VALUE"""),0.0011011170287573274)</f>
        <v>0.001101117029</v>
      </c>
      <c r="E214" s="3">
        <f>IFERROR(__xludf.DUMMYFUNCTION("""COMPUTED_VALUE"""),17172.0)</f>
        <v>17172</v>
      </c>
    </row>
    <row r="215">
      <c r="A215" s="9" t="str">
        <f>IFERROR(__xludf.DUMMYFUNCTION("""COMPUTED_VALUE"""),"O Empreendedor")</f>
        <v>O Empreendedor</v>
      </c>
      <c r="B215" s="1" t="str">
        <f>IFERROR(__xludf.DUMMYFUNCTION("""COMPUTED_VALUE"""),"nuno_baio")</f>
        <v>nuno_baio</v>
      </c>
      <c r="C215" s="1" t="str">
        <f>IFERROR(__xludf.DUMMYFUNCTION("""COMPUTED_VALUE"""),"Falo sobre negócios, gestão, inovação e partilho ideias!🧬
Business Developer |
Criador de Conteúdos |
Speaker |
Investidor | https://t.co/YwHAL1ShR0")</f>
        <v>Falo sobre negócios, gestão, inovação e partilho ideias!🧬
Business Developer |
Criador de Conteúdos |
Speaker |
Investidor | https://t.co/YwHAL1ShR0</v>
      </c>
      <c r="D215" s="1">
        <f>IFERROR(__xludf.DUMMYFUNCTION("""COMPUTED_VALUE"""),0.0010803848340450795)</f>
        <v>0.001080384834</v>
      </c>
      <c r="E215" s="3">
        <f>IFERROR(__xludf.DUMMYFUNCTION("""COMPUTED_VALUE"""),13960.0)</f>
        <v>13960</v>
      </c>
    </row>
    <row r="216">
      <c r="A216" s="24" t="str">
        <f>IFERROR(__xludf.DUMMYFUNCTION("""COMPUTED_VALUE"""),"Milton Neves")</f>
        <v>Milton Neves</v>
      </c>
      <c r="B216" s="1" t="str">
        <f>IFERROR(__xludf.DUMMYFUNCTION("""COMPUTED_VALUE"""),"miltonneves")</f>
        <v>miltonneves</v>
      </c>
      <c r="C216" s="1" t="str">
        <f>IFERROR(__xludf.DUMMYFUNCTION("""COMPUTED_VALUE"""),"Jornalista, Apresentador e Empresário @RBandeirantes  @radiobandnewsfm @UOLEsporte")</f>
        <v>Jornalista, Apresentador e Empresário @RBandeirantes  @radiobandnewsfm @UOLEsporte</v>
      </c>
      <c r="D216" s="1">
        <f>IFERROR(__xludf.DUMMYFUNCTION("""COMPUTED_VALUE"""),0.001063166200752486)</f>
        <v>0.001063166201</v>
      </c>
      <c r="E216" s="3">
        <f>IFERROR(__xludf.DUMMYFUNCTION("""COMPUTED_VALUE"""),2435065.0)</f>
        <v>2435065</v>
      </c>
    </row>
    <row r="217">
      <c r="A217" s="9" t="str">
        <f>IFERROR(__xludf.DUMMYFUNCTION("""COMPUTED_VALUE"""),"Luciana Seabra")</f>
        <v>Luciana Seabra</v>
      </c>
      <c r="B217" s="1" t="str">
        <f>IFERROR(__xludf.DUMMYFUNCTION("""COMPUTED_VALUE"""),"luciana__seabra")</f>
        <v>luciana__seabra</v>
      </c>
      <c r="C217" s="1" t="str">
        <f>IFERROR(__xludf.DUMMYFUNCTION("""COMPUTED_VALUE"""),"Analista independente de fundos e previdência, CFP®, CNPI 👊Ativista do acesso a investimentos de qualidade 🤦🏻‍♀️Pesadelo: investidor em produto caro e ruim")</f>
        <v>Analista independente de fundos e previdência, CFP®, CNPI 👊Ativista do acesso a investimentos de qualidade 🤦🏻‍♀️Pesadelo: investidor em produto caro e ruim</v>
      </c>
      <c r="D217" s="1">
        <f>IFERROR(__xludf.DUMMYFUNCTION("""COMPUTED_VALUE"""),0.0010535192171287249)</f>
        <v>0.001053519217</v>
      </c>
      <c r="E217" s="3">
        <f>IFERROR(__xludf.DUMMYFUNCTION("""COMPUTED_VALUE"""),70121.0)</f>
        <v>70121</v>
      </c>
    </row>
    <row r="218">
      <c r="A218" s="9" t="str">
        <f>IFERROR(__xludf.DUMMYFUNCTION("""COMPUTED_VALUE"""),"Me Poupe!")</f>
        <v>Me Poupe!</v>
      </c>
      <c r="B218" s="1" t="str">
        <f>IFERROR(__xludf.DUMMYFUNCTION("""COMPUTED_VALUE"""),"mepoupenaweb")</f>
        <v>mepoupenaweb</v>
      </c>
      <c r="C218" s="1" t="str">
        <f>IFERROR(__xludf.DUMMYFUNCTION("""COMPUTED_VALUE"""),"A finpactech que usa inovação para desf*der a nação.
TURBINE SUA RENDA EXTRA:
PROGRAMA DE AFILIAÇÃO MP!
COM 20% DE COMISSÃO👇")</f>
        <v>A finpactech que usa inovação para desf*der a nação.
TURBINE SUA RENDA EXTRA:
PROGRAMA DE AFILIAÇÃO MP!
COM 20% DE COMISSÃO👇</v>
      </c>
      <c r="D218" s="1">
        <f>IFERROR(__xludf.DUMMYFUNCTION("""COMPUTED_VALUE"""),0.0010535192171287249)</f>
        <v>0.001053519217</v>
      </c>
      <c r="E218" s="3">
        <f>IFERROR(__xludf.DUMMYFUNCTION("""COMPUTED_VALUE"""),49490.0)</f>
        <v>49490</v>
      </c>
    </row>
    <row r="219">
      <c r="A219" s="9" t="str">
        <f>IFERROR(__xludf.DUMMYFUNCTION("""COMPUTED_VALUE"""),"Concierge Bitcoin")</f>
        <v>Concierge Bitcoin</v>
      </c>
      <c r="B219" s="1" t="str">
        <f>IFERROR(__xludf.DUMMYFUNCTION("""COMPUTED_VALUE"""),"conciergebtc")</f>
        <v>conciergebtc</v>
      </c>
      <c r="C219" s="1" t="str">
        <f>IFERROR(__xludf.DUMMYFUNCTION("""COMPUTED_VALUE"""),"Consultoria focada em acelerar o seu entendimento de #bitcoin 
DMs abertas! Mande sua dúvida
Ou entre em contato: https://t.co/WkCFrvKI1k")</f>
        <v>Consultoria focada em acelerar o seu entendimento de #bitcoin 
DMs abertas! Mande sua dúvida
Ou entre em contato: https://t.co/WkCFrvKI1k</v>
      </c>
      <c r="D219" s="1">
        <f>IFERROR(__xludf.DUMMYFUNCTION("""COMPUTED_VALUE"""),0.0010328383121325927)</f>
        <v>0.001032838312</v>
      </c>
      <c r="E219" s="3">
        <f>IFERROR(__xludf.DUMMYFUNCTION("""COMPUTED_VALUE"""),100.0)</f>
        <v>100</v>
      </c>
    </row>
    <row r="220">
      <c r="A220" s="9" t="str">
        <f>IFERROR(__xludf.DUMMYFUNCTION("""COMPUTED_VALUE"""),"CZ 🔶 Binance")</f>
        <v>CZ 🔶 Binance</v>
      </c>
      <c r="B220" s="1" t="str">
        <f>IFERROR(__xludf.DUMMYFUNCTION("""COMPUTED_VALUE"""),"cz_binance")</f>
        <v>cz_binance</v>
      </c>
      <c r="C220" s="1" t="str">
        <f>IFERROR(__xludf.DUMMYFUNCTION("""COMPUTED_VALUE"""),"CEO @binance, holder of #bnb #btc")</f>
        <v>CEO @binance, holder of #bnb #btc</v>
      </c>
      <c r="D220" s="1">
        <f>IFERROR(__xludf.DUMMYFUNCTION("""COMPUTED_VALUE"""),0.0010182064360440475)</f>
        <v>0.001018206436</v>
      </c>
      <c r="E220" s="3">
        <f>IFERROR(__xludf.DUMMYFUNCTION("""COMPUTED_VALUE"""),8619005.0)</f>
        <v>8619005</v>
      </c>
    </row>
    <row r="221">
      <c r="A221" s="9" t="str">
        <f>IFERROR(__xludf.DUMMYFUNCTION("""COMPUTED_VALUE"""),"Polkadot @Token2049")</f>
        <v>Polkadot @Token2049</v>
      </c>
      <c r="B221" s="1" t="str">
        <f>IFERROR(__xludf.DUMMYFUNCTION("""COMPUTED_VALUE"""),"polkadot")</f>
        <v>polkadot</v>
      </c>
      <c r="C221" s="1" t="str">
        <f>IFERROR(__xludf.DUMMYFUNCTION("""COMPUTED_VALUE"""),"The blockspace ecosystem for boundless innovation. Secure, composable, flexible, efficient &amp; cost effective. Powering the movement for a better web.")</f>
        <v>The blockspace ecosystem for boundless innovation. Secure, composable, flexible, efficient &amp; cost effective. Powering the movement for a better web.</v>
      </c>
      <c r="D221" s="1">
        <f>IFERROR(__xludf.DUMMYFUNCTION("""COMPUTED_VALUE"""),0.0010182064360440475)</f>
        <v>0.001018206436</v>
      </c>
      <c r="E221" s="3">
        <f>IFERROR(__xludf.DUMMYFUNCTION("""COMPUTED_VALUE"""),1418829.0)</f>
        <v>1418829</v>
      </c>
    </row>
    <row r="222">
      <c r="A222" s="9" t="str">
        <f>IFERROR(__xludf.DUMMYFUNCTION("""COMPUTED_VALUE"""),"PolkaBridge | Decentralized P2P Exchange is Live🟢")</f>
        <v>PolkaBridge | Decentralized P2P Exchange is Live🟢</v>
      </c>
      <c r="B222" s="1" t="str">
        <f>IFERROR(__xludf.DUMMYFUNCTION("""COMPUTED_VALUE"""),"realpolkabridge")</f>
        <v>realpolkabridge</v>
      </c>
      <c r="C222" s="1" t="str">
        <f>IFERROR(__xludf.DUMMYFUNCTION("""COMPUTED_VALUE"""),"Decentralized all-in-one financial applications, now focusing on Decentralized P2P Platform: https://t.co/H6MsUbaVaM | Telegram: https://t.co/JHx2yzZ7rE")</f>
        <v>Decentralized all-in-one financial applications, now focusing on Decentralized P2P Platform: https://t.co/H6MsUbaVaM | Telegram: https://t.co/JHx2yzZ7rE</v>
      </c>
      <c r="D222" s="1">
        <f>IFERROR(__xludf.DUMMYFUNCTION("""COMPUTED_VALUE"""),0.0010182064360440475)</f>
        <v>0.001018206436</v>
      </c>
      <c r="E222" s="3">
        <f>IFERROR(__xludf.DUMMYFUNCTION("""COMPUTED_VALUE"""),179171.0)</f>
        <v>179171</v>
      </c>
    </row>
    <row r="223">
      <c r="A223" s="24" t="str">
        <f>IFERROR(__xludf.DUMMYFUNCTION("""COMPUTED_VALUE"""),"TV Gazeta")</f>
        <v>TV Gazeta</v>
      </c>
      <c r="B223" s="1" t="str">
        <f>IFERROR(__xludf.DUMMYFUNCTION("""COMPUTED_VALUE"""),"tvgazetaoficial")</f>
        <v>tvgazetaoficial</v>
      </c>
      <c r="C223" s="1" t="str">
        <f>IFERROR(__xludf.DUMMYFUNCTION("""COMPUTED_VALUE"""),"Seja bem-vindo ao nosso perfil oficial! 🧡 Aqui você fica por dentro de tudo o que rola na Avenida Paulista 900.")</f>
        <v>Seja bem-vindo ao nosso perfil oficial! 🧡 Aqui você fica por dentro de tudo o que rola na Avenida Paulista 900.</v>
      </c>
      <c r="D223" s="1">
        <f>IFERROR(__xludf.DUMMYFUNCTION("""COMPUTED_VALUE"""),0.0010182064360440475)</f>
        <v>0.001018206436</v>
      </c>
      <c r="E223" s="3">
        <f>IFERROR(__xludf.DUMMYFUNCTION("""COMPUTED_VALUE"""),69731.0)</f>
        <v>69731</v>
      </c>
    </row>
    <row r="224">
      <c r="A224" s="24" t="str">
        <f>IFERROR(__xludf.DUMMYFUNCTION("""COMPUTED_VALUE"""),"IBGE Comunica")</f>
        <v>IBGE Comunica</v>
      </c>
      <c r="B224" s="1" t="str">
        <f>IFERROR(__xludf.DUMMYFUNCTION("""COMPUTED_VALUE"""),"ibgecomunica")</f>
        <v>ibgecomunica</v>
      </c>
      <c r="C224" s="1" t="str">
        <f>IFERROR(__xludf.DUMMYFUNCTION("""COMPUTED_VALUE"""),"Somos o Instituto Brasileiro de Geografia e Estatística, mas pode nos chamar de IBGE! Nosso trabalho é retratar o Brasil e os brasileiros.")</f>
        <v>Somos o Instituto Brasileiro de Geografia e Estatística, mas pode nos chamar de IBGE! Nosso trabalho é retratar o Brasil e os brasileiros.</v>
      </c>
      <c r="D224" s="1">
        <f>IFERROR(__xludf.DUMMYFUNCTION("""COMPUTED_VALUE"""),9.963929939790287E-4)</f>
        <v>0.000996392994</v>
      </c>
      <c r="E224" s="3">
        <f>IFERROR(__xludf.DUMMYFUNCTION("""COMPUTED_VALUE"""),193565.0)</f>
        <v>193565</v>
      </c>
    </row>
    <row r="225">
      <c r="A225" s="24" t="str">
        <f>IFERROR(__xludf.DUMMYFUNCTION("""COMPUTED_VALUE"""),"Lula")</f>
        <v>Lula</v>
      </c>
      <c r="B225" s="1" t="str">
        <f>IFERROR(__xludf.DUMMYFUNCTION("""COMPUTED_VALUE"""),"lulaoficial")</f>
        <v>lulaoficial</v>
      </c>
      <c r="C225" s="1" t="str">
        <f>IFERROR(__xludf.DUMMYFUNCTION("""COMPUTED_VALUE"""),"Filho da Dona Lindu, marido da @JanjaLula, presidente da República. Trabalhando para reconstruir o Brasil.")</f>
        <v>Filho da Dona Lindu, marido da @JanjaLula, presidente da República. Trabalhando para reconstruir o Brasil.</v>
      </c>
      <c r="D225" s="1">
        <f>IFERROR(__xludf.DUMMYFUNCTION("""COMPUTED_VALUE"""),9.751199948651272E-4)</f>
        <v>0.0009751199949</v>
      </c>
      <c r="E225" s="3">
        <f>IFERROR(__xludf.DUMMYFUNCTION("""COMPUTED_VALUE"""),8205005.0)</f>
        <v>8205005</v>
      </c>
    </row>
    <row r="226">
      <c r="A226" s="9" t="str">
        <f>IFERROR(__xludf.DUMMYFUNCTION("""COMPUTED_VALUE"""),"Suno Asset")</f>
        <v>Suno Asset</v>
      </c>
      <c r="B226" s="1" t="str">
        <f>IFERROR(__xludf.DUMMYFUNCTION("""COMPUTED_VALUE"""),"sunoasset")</f>
        <v>sunoasset</v>
      </c>
      <c r="C226" s="1" t="str">
        <f>IFERROR(__xludf.DUMMYFUNCTION("""COMPUTED_VALUE"""),"🔴 Grupo Suno
📊 Gestora de recursos independente
👉 Soluções de investimento para você
🚀 Mais sobre os nossos fundos 👇")</f>
        <v>🔴 Grupo Suno
📊 Gestora de recursos independente
👉 Soluções de investimento para você
🚀 Mais sobre os nossos fundos 👇</v>
      </c>
      <c r="D226" s="1">
        <f>IFERROR(__xludf.DUMMYFUNCTION("""COMPUTED_VALUE"""),9.627909121010884E-4)</f>
        <v>0.0009627909121</v>
      </c>
      <c r="E226" s="3">
        <f>IFERROR(__xludf.DUMMYFUNCTION("""COMPUTED_VALUE"""),4857.0)</f>
        <v>4857</v>
      </c>
    </row>
    <row r="227">
      <c r="A227" s="9" t="str">
        <f>IFERROR(__xludf.DUMMYFUNCTION("""COMPUTED_VALUE"""),"Ana Laura Magalhães")</f>
        <v>Ana Laura Magalhães</v>
      </c>
      <c r="B227" s="1" t="str">
        <f>IFERROR(__xludf.DUMMYFUNCTION("""COMPUTED_VALUE"""),"amagalhaesana")</f>
        <v>amagalhaesana</v>
      </c>
      <c r="C227" s="1" t="str">
        <f>IFERROR(__xludf.DUMMYFUNCTION("""COMPUTED_VALUE"""),"Em pausa de conteúdo de finanças 🚨 | TEDx Speaker | Forbes Under 30 | Women Force @NFTEVE_ &amp; Humana")</f>
        <v>Em pausa de conteúdo de finanças 🚨 | TEDx Speaker | Forbes Under 30 | Women Force @NFTEVE_ &amp; Humana</v>
      </c>
      <c r="D227" s="1">
        <f>IFERROR(__xludf.DUMMYFUNCTION("""COMPUTED_VALUE"""),9.627909121010884E-4)</f>
        <v>0.0009627909121</v>
      </c>
      <c r="E227" s="3">
        <f>IFERROR(__xludf.DUMMYFUNCTION("""COMPUTED_VALUE"""),9053.0)</f>
        <v>9053</v>
      </c>
    </row>
    <row r="228">
      <c r="A228" s="24" t="str">
        <f>IFERROR(__xludf.DUMMYFUNCTION("""COMPUTED_VALUE"""),"STEAL THE LOOK")</f>
        <v>STEAL THE LOOK</v>
      </c>
      <c r="B228" s="1" t="str">
        <f>IFERROR(__xludf.DUMMYFUNCTION("""COMPUTED_VALUE"""),"stealthelook")</f>
        <v>stealthelook</v>
      </c>
      <c r="C228" s="1" t="str">
        <f>IFERROR(__xludf.DUMMYFUNCTION("""COMPUTED_VALUE"""),"Por aqui, oferecemos shots de memes, coberturas dos melhores red carpets, Harry Styles e tudo o que faz parte do nosso universo.✨")</f>
        <v>Por aqui, oferecemos shots de memes, coberturas dos melhores red carpets, Harry Styles e tudo o que faz parte do nosso universo.✨</v>
      </c>
      <c r="D228" s="1">
        <f>IFERROR(__xludf.DUMMYFUNCTION("""COMPUTED_VALUE"""),9.627909121010884E-4)</f>
        <v>0.0009627909121</v>
      </c>
      <c r="E228" s="3">
        <f>IFERROR(__xludf.DUMMYFUNCTION("""COMPUTED_VALUE"""),6823.0)</f>
        <v>6823</v>
      </c>
    </row>
    <row r="229">
      <c r="A229" s="9" t="str">
        <f>IFERROR(__xludf.DUMMYFUNCTION("""COMPUTED_VALUE"""),"Nonô, o Vovô Investidor")</f>
        <v>Nonô, o Vovô Investidor</v>
      </c>
      <c r="B229" s="1" t="str">
        <f>IFERROR(__xludf.DUMMYFUNCTION("""COMPUTED_VALUE"""),"nonoinvestidor")</f>
        <v>nonoinvestidor</v>
      </c>
      <c r="C229" s="1" t="str">
        <f>IFERROR(__xludf.DUMMYFUNCTION("""COMPUTED_VALUE"""),"▫️PhD em Loss pela StopLoss University / B3 🇧🇷▫️O melhor perfil de Humor do Mercado Financeiro ▫️Eu ensino como perder dinheiro!!!!!!▫️ CLICA AQUI👇🏼")</f>
        <v>▫️PhD em Loss pela StopLoss University / B3 🇧🇷▫️O melhor perfil de Humor do Mercado Financeiro ▫️Eu ensino como perder dinheiro!!!!!!▫️ CLICA AQUI👇🏼</v>
      </c>
      <c r="D229" s="1">
        <f>IFERROR(__xludf.DUMMYFUNCTION("""COMPUTED_VALUE"""),9.282869066271705E-4)</f>
        <v>0.0009282869066</v>
      </c>
      <c r="E229" s="3">
        <f>IFERROR(__xludf.DUMMYFUNCTION("""COMPUTED_VALUE"""),118731.0)</f>
        <v>118731</v>
      </c>
    </row>
    <row r="230">
      <c r="A230" s="9" t="str">
        <f>IFERROR(__xludf.DUMMYFUNCTION("""COMPUTED_VALUE"""),"Lina Seiche")</f>
        <v>Lina Seiche</v>
      </c>
      <c r="B230" s="1" t="str">
        <f>IFERROR(__xludf.DUMMYFUNCTION("""COMPUTED_VALUE"""),"linaseiche_dm")</f>
        <v>linaseiche_dm</v>
      </c>
      <c r="C230" s="1" t="str">
        <f>IFERROR(__xludf.DUMMYFUNCTION("""COMPUTED_VALUE"""),"Creator of #TheLittleHODLer and his little comics. 🧡 Plushies now available for pre-order 🎁")</f>
        <v>Creator of #TheLittleHODLer and his little comics. 🧡 Plushies now available for pre-order 🎁</v>
      </c>
      <c r="D230" s="1">
        <f>IFERROR(__xludf.DUMMYFUNCTION("""COMPUTED_VALUE"""),8.732178457121009E-4)</f>
        <v>0.0008732178457</v>
      </c>
      <c r="E230" s="3">
        <f>IFERROR(__xludf.DUMMYFUNCTION("""COMPUTED_VALUE"""),49.0)</f>
        <v>49</v>
      </c>
    </row>
    <row r="231">
      <c r="A231" s="9" t="str">
        <f>IFERROR(__xludf.DUMMYFUNCTION("""COMPUTED_VALUE"""),"Professor Thiago")</f>
        <v>Professor Thiago</v>
      </c>
      <c r="B231" s="1" t="str">
        <f>IFERROR(__xludf.DUMMYFUNCTION("""COMPUTED_VALUE"""),"twetthiago")</f>
        <v>twetthiago</v>
      </c>
      <c r="C231" s="1" t="str">
        <f>IFERROR(__xludf.DUMMYFUNCTION("""COMPUTED_VALUE"""),"Developer,  Formado em T.I. Amante de Bossa Nova/MPB, Humorista, Treinador Pokémon. Meus tweets não correspondem à realidade #VaiCorinthians #Roxette #BonJovi")</f>
        <v>Developer,  Formado em T.I. Amante de Bossa Nova/MPB, Humorista, Treinador Pokémon. Meus tweets não correspondem à realidade #VaiCorinthians #Roxette #BonJovi</v>
      </c>
      <c r="D231" s="1">
        <f>IFERROR(__xludf.DUMMYFUNCTION("""COMPUTED_VALUE"""),8.452842640885149E-4)</f>
        <v>0.0008452842641</v>
      </c>
      <c r="E231" s="3">
        <f>IFERROR(__xludf.DUMMYFUNCTION("""COMPUTED_VALUE"""),586.0)</f>
        <v>586</v>
      </c>
    </row>
    <row r="232">
      <c r="A232" s="9" t="str">
        <f>IFERROR(__xludf.DUMMYFUNCTION("""COMPUTED_VALUE"""),"João Kepler")</f>
        <v>João Kepler</v>
      </c>
      <c r="B232" s="1" t="str">
        <f>IFERROR(__xludf.DUMMYFUNCTION("""COMPUTED_VALUE"""),"joaokepler")</f>
        <v>joaokepler</v>
      </c>
      <c r="C232" s="1" t="str">
        <f>IFERROR(__xludf.DUMMYFUNCTION("""COMPUTED_VALUE"""),"Escritor l Educador l Investidor Anjo l CEO na @bossainvest | Venture Capital l Best-sellers: Smart Money e o Poder do Equity | Investindo em GENTE &amp; STARTUPS")</f>
        <v>Escritor l Educador l Investidor Anjo l CEO na @bossainvest | Venture Capital l Best-sellers: Smart Money e o Poder do Equity | Investindo em GENTE &amp; STARTUPS</v>
      </c>
      <c r="D232" s="1">
        <f>IFERROR(__xludf.DUMMYFUNCTION("""COMPUTED_VALUE"""),8.452842640885149E-4)</f>
        <v>0.0008452842641</v>
      </c>
      <c r="E232" s="3">
        <f>IFERROR(__xludf.DUMMYFUNCTION("""COMPUTED_VALUE"""),16313.0)</f>
        <v>16313</v>
      </c>
    </row>
    <row r="233">
      <c r="A233" s="9" t="str">
        <f>IFERROR(__xludf.DUMMYFUNCTION("""COMPUTED_VALUE"""),"Tapa da Mão Invisível")</f>
        <v>Tapa da Mão Invisível</v>
      </c>
      <c r="B233" s="1" t="str">
        <f>IFERROR(__xludf.DUMMYFUNCTION("""COMPUTED_VALUE"""),"tdmaoinvisivel")</f>
        <v>tdmaoinvisivel</v>
      </c>
      <c r="C233" s="1" t="str">
        <f>IFERROR(__xludf.DUMMYFUNCTION("""COMPUTED_VALUE"""),"Por @pcfuchs e @juliosantoslib | 🎓Política, economia e sociedade |🎙 Debatemos ideias com quem quer um Brasil mais livre | 👇+ de 250 podcasts GRATUITOS")</f>
        <v>Por @pcfuchs e @juliosantoslib | 🎓Política, economia e sociedade |🎙 Debatemos ideias com quem quer um Brasil mais livre | 👇+ de 250 podcasts GRATUITOS</v>
      </c>
      <c r="D233" s="1">
        <f>IFERROR(__xludf.DUMMYFUNCTION("""COMPUTED_VALUE"""),8.446925152111006E-4)</f>
        <v>0.0008446925152</v>
      </c>
      <c r="E233" s="3">
        <f>IFERROR(__xludf.DUMMYFUNCTION("""COMPUTED_VALUE"""),6480.0)</f>
        <v>6480</v>
      </c>
    </row>
    <row r="234">
      <c r="A234" s="9" t="str">
        <f>IFERROR(__xludf.DUMMYFUNCTION("""COMPUTED_VALUE"""),"Tiago Guitián Reis")</f>
        <v>Tiago Guitián Reis</v>
      </c>
      <c r="B234" s="1" t="str">
        <f>IFERROR(__xludf.DUMMYFUNCTION("""COMPUTED_VALUE"""),"tiagogreis")</f>
        <v>tiagogreis</v>
      </c>
      <c r="C234" s="1" t="str">
        <f>IFERROR(__xludf.DUMMYFUNCTION("""COMPUTED_VALUE"""),"📈@SunoResearch
⚙️@StatusInvestBR
🤑 Bolsa de Valores Descomplicada  👇")</f>
        <v>📈@SunoResearch
⚙️@StatusInvestBR
🤑 Bolsa de Valores Descomplicada  👇</v>
      </c>
      <c r="D234" s="1">
        <f>IFERROR(__xludf.DUMMYFUNCTION("""COMPUTED_VALUE"""),8.446925152111006E-4)</f>
        <v>0.0008446925152</v>
      </c>
      <c r="E234" s="3">
        <f>IFERROR(__xludf.DUMMYFUNCTION("""COMPUTED_VALUE"""),224120.0)</f>
        <v>224120</v>
      </c>
    </row>
    <row r="235">
      <c r="A235" s="9" t="str">
        <f>IFERROR(__xludf.DUMMYFUNCTION("""COMPUTED_VALUE"""),"Roger Rocha Moreira")</f>
        <v>Roger Rocha Moreira</v>
      </c>
      <c r="B235" s="1" t="str">
        <f>IFERROR(__xludf.DUMMYFUNCTION("""COMPUTED_VALUE"""),"roxmo")</f>
        <v>roxmo</v>
      </c>
      <c r="C235" s="1" t="str">
        <f>IFERROR(__xludf.DUMMYFUNCTION("""COMPUTED_VALUE"""),"Rock and roller")</f>
        <v>Rock and roller</v>
      </c>
      <c r="D235" s="1">
        <f>IFERROR(__xludf.DUMMYFUNCTION("""COMPUTED_VALUE"""),8.402407007398119E-4)</f>
        <v>0.0008402407007</v>
      </c>
      <c r="E235" s="3">
        <f>IFERROR(__xludf.DUMMYFUNCTION("""COMPUTED_VALUE"""),1477239.0)</f>
        <v>1477239</v>
      </c>
    </row>
    <row r="236">
      <c r="A236" s="9" t="str">
        <f>IFERROR(__xludf.DUMMYFUNCTION("""COMPUTED_VALUE"""),"Roberto Motta")</f>
        <v>Roberto Motta</v>
      </c>
      <c r="B236" s="1" t="str">
        <f>IFERROR(__xludf.DUMMYFUNCTION("""COMPUTED_VALUE"""),"rmotta2")</f>
        <v>rmotta2</v>
      </c>
      <c r="C236" s="1" t="str">
        <f>IFERROR(__xludf.DUMMYFUNCTION("""COMPUTED_VALUE"""),"Engenheiro. Autor de 5 livros. Comentarista da @JovemPanNews. Ex-consultor do Banco Mundial e ex-Secretário de Estado. Pai. Instagram: @robertomottaoficial")</f>
        <v>Engenheiro. Autor de 5 livros. Comentarista da @JovemPanNews. Ex-consultor do Banco Mundial e ex-Secretário de Estado. Pai. Instagram: @robertomottaoficial</v>
      </c>
      <c r="D236" s="1">
        <f>IFERROR(__xludf.DUMMYFUNCTION("""COMPUTED_VALUE"""),8.402407007398119E-4)</f>
        <v>0.0008402407007</v>
      </c>
      <c r="E236" s="3">
        <f>IFERROR(__xludf.DUMMYFUNCTION("""COMPUTED_VALUE"""),988942.0)</f>
        <v>988942</v>
      </c>
    </row>
    <row r="237">
      <c r="A237" s="9" t="str">
        <f>IFERROR(__xludf.DUMMYFUNCTION("""COMPUTED_VALUE"""),"CNN Economia")</f>
        <v>CNN Economia</v>
      </c>
      <c r="B237" s="1" t="str">
        <f>IFERROR(__xludf.DUMMYFUNCTION("""COMPUTED_VALUE"""),"cnneconomia")</f>
        <v>cnneconomia</v>
      </c>
      <c r="C237" s="1" t="str">
        <f>IFERROR(__xludf.DUMMYFUNCTION("""COMPUTED_VALUE"""),"Você por dentro de tudo o que move a economia. Agora.
@CNNBrasil")</f>
        <v>Você por dentro de tudo o que move a economia. Agora.
@CNNBrasil</v>
      </c>
      <c r="D237" s="1">
        <f>IFERROR(__xludf.DUMMYFUNCTION("""COMPUTED_VALUE"""),8.289021635874644E-4)</f>
        <v>0.0008289021636</v>
      </c>
      <c r="E237" s="3">
        <f>IFERROR(__xludf.DUMMYFUNCTION("""COMPUTED_VALUE"""),199441.0)</f>
        <v>199441</v>
      </c>
    </row>
    <row r="238">
      <c r="A238" s="9" t="str">
        <f>IFERROR(__xludf.DUMMYFUNCTION("""COMPUTED_VALUE"""),"Jornal Contábil")</f>
        <v>Jornal Contábil</v>
      </c>
      <c r="B238" s="1" t="str">
        <f>IFERROR(__xludf.DUMMYFUNCTION("""COMPUTED_VALUE"""),"jornalcontabil_")</f>
        <v>jornalcontabil_</v>
      </c>
      <c r="C238" s="32" t="str">
        <f>IFERROR(__xludf.DUMMYFUNCTION("""COMPUTED_VALUE"""),"https://t.co/qlnZ5UsZ7Y")</f>
        <v>https://t.co/qlnZ5UsZ7Y</v>
      </c>
      <c r="D238" s="1">
        <f>IFERROR(__xludf.DUMMYFUNCTION("""COMPUTED_VALUE"""),8.289021635874644E-4)</f>
        <v>0.0008289021636</v>
      </c>
      <c r="E238" s="3">
        <f>IFERROR(__xludf.DUMMYFUNCTION("""COMPUTED_VALUE"""),14737.0)</f>
        <v>14737</v>
      </c>
    </row>
    <row r="239">
      <c r="A239" s="24" t="str">
        <f>IFERROR(__xludf.DUMMYFUNCTION("""COMPUTED_VALUE"""),"Darlan TD ★彡")</f>
        <v>Darlan TD ★彡</v>
      </c>
      <c r="B239" s="1" t="str">
        <f>IFERROR(__xludf.DUMMYFUNCTION("""COMPUTED_VALUE"""),"darlantd")</f>
        <v>darlantd</v>
      </c>
      <c r="C239" s="1" t="str">
        <f>IFERROR(__xludf.DUMMYFUNCTION("""COMPUTED_VALUE"""),"@Botafogo
@realmadrid
@warriors
@LulaOficial
TikTok: darlantd99
ID: darlantd")</f>
        <v>@Botafogo
@realmadrid
@warriors
@LulaOficial
TikTok: darlantd99
ID: darlantd</v>
      </c>
      <c r="D239" s="1">
        <f>IFERROR(__xludf.DUMMYFUNCTION("""COMPUTED_VALUE"""),8.289021635874644E-4)</f>
        <v>0.0008289021636</v>
      </c>
      <c r="E239" s="3">
        <f>IFERROR(__xludf.DUMMYFUNCTION("""COMPUTED_VALUE"""),1261.0)</f>
        <v>1261</v>
      </c>
    </row>
    <row r="240">
      <c r="A240" s="24" t="str">
        <f>IFERROR(__xludf.DUMMYFUNCTION("""COMPUTED_VALUE"""),"CHOQUEI")</f>
        <v>CHOQUEI</v>
      </c>
      <c r="B240" s="1" t="str">
        <f>IFERROR(__xludf.DUMMYFUNCTION("""COMPUTED_VALUE"""),"choquei")</f>
        <v>choquei</v>
      </c>
      <c r="C240" s="1" t="str">
        <f>IFERROR(__xludf.DUMMYFUNCTION("""COMPUTED_VALUE"""),"A sua fonte de notícias mais rápida. Tudo sobre os acontecimentos mais recentes do Brasil e do mundo. Contato: assessoriachoquei@gmail.com")</f>
        <v>A sua fonte de notícias mais rápida. Tudo sobre os acontecimentos mais recentes do Brasil e do mundo. Contato: assessoriachoquei@gmail.com</v>
      </c>
      <c r="D240" s="1">
        <f>IFERROR(__xludf.DUMMYFUNCTION("""COMPUTED_VALUE"""),8.289021635874644E-4)</f>
        <v>0.0008289021636</v>
      </c>
      <c r="E240" s="3">
        <f>IFERROR(__xludf.DUMMYFUNCTION("""COMPUTED_VALUE"""),6353562.0)</f>
        <v>6353562</v>
      </c>
    </row>
    <row r="241">
      <c r="A241" s="24" t="str">
        <f>IFERROR(__xludf.DUMMYFUNCTION("""COMPUTED_VALUE"""),"Cecilia Flesch")</f>
        <v>Cecilia Flesch</v>
      </c>
      <c r="B241" s="1" t="str">
        <f>IFERROR(__xludf.DUMMYFUNCTION("""COMPUTED_VALUE"""),"ceciliaflesch")</f>
        <v>ceciliaflesch</v>
      </c>
      <c r="C241" s="1" t="str">
        <f>IFERROR(__xludf.DUMMYFUNCTION("""COMPUTED_VALUE"""),"Comunicadora e definindo o resto!")</f>
        <v>Comunicadora e definindo o resto!</v>
      </c>
      <c r="D241" s="1">
        <f>IFERROR(__xludf.DUMMYFUNCTION("""COMPUTED_VALUE"""),8.289021635874644E-4)</f>
        <v>0.0008289021636</v>
      </c>
      <c r="E241" s="3">
        <f>IFERROR(__xludf.DUMMYFUNCTION("""COMPUTED_VALUE"""),74918.0)</f>
        <v>74918</v>
      </c>
    </row>
    <row r="242">
      <c r="A242" s="9" t="str">
        <f>IFERROR(__xludf.DUMMYFUNCTION("""COMPUTED_VALUE"""),"Pedro Fernando Nery")</f>
        <v>Pedro Fernando Nery</v>
      </c>
      <c r="B242" s="1" t="str">
        <f>IFERROR(__xludf.DUMMYFUNCTION("""COMPUTED_VALUE"""),"pfnery")</f>
        <v>pfnery</v>
      </c>
      <c r="C242" s="1" t="str">
        <f>IFERROR(__xludf.DUMMYFUNCTION("""COMPUTED_VALUE"""),"Diretor de Assuntos Econômicos e Sociais da Vice-Presidência do @GovBR. Professor no @SejaIDP.")</f>
        <v>Diretor de Assuntos Econômicos e Sociais da Vice-Presidência do @GovBR. Professor no @SejaIDP.</v>
      </c>
      <c r="D242" s="1">
        <f>IFERROR(__xludf.DUMMYFUNCTION("""COMPUTED_VALUE"""),8.289021635874644E-4)</f>
        <v>0.0008289021636</v>
      </c>
      <c r="E242" s="3">
        <f>IFERROR(__xludf.DUMMYFUNCTION("""COMPUTED_VALUE"""),76223.0)</f>
        <v>76223</v>
      </c>
    </row>
    <row r="243">
      <c r="A243" s="9" t="str">
        <f>IFERROR(__xludf.DUMMYFUNCTION("""COMPUTED_VALUE"""),"Aod Cunha")</f>
        <v>Aod Cunha</v>
      </c>
      <c r="B243" s="1" t="str">
        <f>IFERROR(__xludf.DUMMYFUNCTION("""COMPUTED_VALUE"""),"aod_cunha")</f>
        <v>aod_cunha</v>
      </c>
      <c r="C243" s="1" t="str">
        <f>IFERROR(__xludf.DUMMYFUNCTION("""COMPUTED_VALUE"""),"Doutor em economia. Ex secretario da fazenda do RS, MD do JP Morgan e colunista do @infomoney. Mais importante: colorado e pai da Victoria.")</f>
        <v>Doutor em economia. Ex secretario da fazenda do RS, MD do JP Morgan e colunista do @infomoney. Mais importante: colorado e pai da Victoria.</v>
      </c>
      <c r="D243" s="1">
        <f>IFERROR(__xludf.DUMMYFUNCTION("""COMPUTED_VALUE"""),8.289021635874644E-4)</f>
        <v>0.0008289021636</v>
      </c>
      <c r="E243" s="3">
        <f>IFERROR(__xludf.DUMMYFUNCTION("""COMPUTED_VALUE"""),18863.0)</f>
        <v>18863</v>
      </c>
    </row>
    <row r="244">
      <c r="A244" s="24" t="str">
        <f>IFERROR(__xludf.DUMMYFUNCTION("""COMPUTED_VALUE"""),"Folha de S.Paulo")</f>
        <v>Folha de S.Paulo</v>
      </c>
      <c r="B244" s="1" t="str">
        <f>IFERROR(__xludf.DUMMYFUNCTION("""COMPUTED_VALUE"""),"folha")</f>
        <v>folha</v>
      </c>
      <c r="C244" s="1" t="str">
        <f>IFERROR(__xludf.DUMMYFUNCTION("""COMPUTED_VALUE"""),"Um jornal a serviço do Brasil
Newsletters: https://t.co/NVUcVDAjzm
Insta: https://t.co/ktjTHtETj7 
TikTok: https://t.co/EOgj84KB9l
Facebook: https://t.co/Iq0fS3e2sF
Assine: https://t.co/OJOZUvKPWW")</f>
        <v>Um jornal a serviço do Brasil
Newsletters: https://t.co/NVUcVDAjzm
Insta: https://t.co/ktjTHtETj7 
TikTok: https://t.co/EOgj84KB9l
Facebook: https://t.co/Iq0fS3e2sF
Assine: https://t.co/OJOZUvKPWW</v>
      </c>
      <c r="D244" s="1">
        <f>IFERROR(__xludf.DUMMYFUNCTION("""COMPUTED_VALUE"""),8.289021635874644E-4)</f>
        <v>0.0008289021636</v>
      </c>
      <c r="E244" s="3">
        <f>IFERROR(__xludf.DUMMYFUNCTION("""COMPUTED_VALUE"""),8886150.0)</f>
        <v>8886150</v>
      </c>
    </row>
    <row r="245">
      <c r="A245" s="9" t="str">
        <f>IFERROR(__xludf.DUMMYFUNCTION("""COMPUTED_VALUE"""),"Cristiane Fensterseifer, CNPI, CGA e consultora")</f>
        <v>Cristiane Fensterseifer, CNPI, CGA e consultora</v>
      </c>
      <c r="B245" s="1" t="str">
        <f>IFERROR(__xludf.DUMMYFUNCTION("""COMPUTED_VALUE"""),"crisinveste")</f>
        <v>crisinveste</v>
      </c>
      <c r="C245" s="1" t="str">
        <f>IFERROR(__xludf.DUMMYFUNCTION("""COMPUTED_VALUE"""),"Analista, gestora e consultora de investimentos
Assine o ALL IN ONE: RENDA E ALTO POTENCIAL SEM TAXAS!")</f>
        <v>Analista, gestora e consultora de investimentos
Assine o ALL IN ONE: RENDA E ALTO POTENCIAL SEM TAXAS!</v>
      </c>
      <c r="D245" s="1">
        <f>IFERROR(__xludf.DUMMYFUNCTION("""COMPUTED_VALUE"""),7.934076125018551E-4)</f>
        <v>0.0007934076125</v>
      </c>
      <c r="E245" s="3">
        <f>IFERROR(__xludf.DUMMYFUNCTION("""COMPUTED_VALUE"""),12145.0)</f>
        <v>12145</v>
      </c>
    </row>
    <row r="246">
      <c r="A246" s="9" t="str">
        <f>IFERROR(__xludf.DUMMYFUNCTION("""COMPUTED_VALUE"""),"Manoela Dutra")</f>
        <v>Manoela Dutra</v>
      </c>
      <c r="B246" s="1" t="str">
        <f>IFERROR(__xludf.DUMMYFUNCTION("""COMPUTED_VALUE"""),"amanumanoela")</f>
        <v>amanumanoela</v>
      </c>
      <c r="C246" s="1" t="str">
        <f>IFERROR(__xludf.DUMMYFUNCTION("""COMPUTED_VALUE"""),"Mãe da Valentina e a louca do mundo financeiro. Prazer, Manoela!")</f>
        <v>Mãe da Valentina e a louca do mundo financeiro. Prazer, Manoela!</v>
      </c>
      <c r="D246" s="1">
        <f>IFERROR(__xludf.DUMMYFUNCTION("""COMPUTED_VALUE"""),7.934076125018551E-4)</f>
        <v>0.0007934076125</v>
      </c>
      <c r="E246" s="3">
        <f>IFERROR(__xludf.DUMMYFUNCTION("""COMPUTED_VALUE"""),1916.0)</f>
        <v>1916</v>
      </c>
    </row>
    <row r="247">
      <c r="A247" s="9" t="str">
        <f>IFERROR(__xludf.DUMMYFUNCTION("""COMPUTED_VALUE"""),"Iê Camará Capoeira")</f>
        <v>Iê Camará Capoeira</v>
      </c>
      <c r="B247" s="1" t="str">
        <f>IFERROR(__xludf.DUMMYFUNCTION("""COMPUTED_VALUE"""),"iecamarabahia")</f>
        <v>iecamarabahia</v>
      </c>
      <c r="C247" s="1" t="str">
        <f>IFERROR(__xludf.DUMMYFUNCTION("""COMPUTED_VALUE"""),"Iê Camará - #Capoeira #Angola - Aluna do Mestre e #Historiador (J. Farias - Angoleiro).")</f>
        <v>Iê Camará - #Capoeira #Angola - Aluna do Mestre e #Historiador (J. Farias - Angoleiro).</v>
      </c>
      <c r="D247" s="1">
        <f>IFERROR(__xludf.DUMMYFUNCTION("""COMPUTED_VALUE"""),7.934076125018551E-4)</f>
        <v>0.0007934076125</v>
      </c>
      <c r="E247" s="3">
        <f>IFERROR(__xludf.DUMMYFUNCTION("""COMPUTED_VALUE"""),944.0)</f>
        <v>944</v>
      </c>
    </row>
    <row r="248">
      <c r="A248" s="9" t="str">
        <f>IFERROR(__xludf.DUMMYFUNCTION("""COMPUTED_VALUE"""),"mariana sensível 🚀💜")</f>
        <v>mariana sensível 🚀💜</v>
      </c>
      <c r="B248" s="1" t="str">
        <f>IFERROR(__xludf.DUMMYFUNCTION("""COMPUTED_VALUE"""),"marianasmkt")</f>
        <v>marianasmkt</v>
      </c>
      <c r="C248" s="1" t="str">
        <f>IFERROR(__xludf.DUMMYFUNCTION("""COMPUTED_VALUE"""),"✨marketing digital com preço acessível • 👩🏼‍💻sócia &amp; social media em @juniorartepallets no instagram • #marketingdigital")</f>
        <v>✨marketing digital com preço acessível • 👩🏼‍💻sócia &amp; social media em @juniorartepallets no instagram • #marketingdigital</v>
      </c>
      <c r="D248" s="1">
        <f>IFERROR(__xludf.DUMMYFUNCTION("""COMPUTED_VALUE"""),7.934076125018551E-4)</f>
        <v>0.0007934076125</v>
      </c>
      <c r="E248" s="3">
        <f>IFERROR(__xludf.DUMMYFUNCTION("""COMPUTED_VALUE"""),44.0)</f>
        <v>44</v>
      </c>
    </row>
    <row r="249">
      <c r="A249" s="9" t="str">
        <f>IFERROR(__xludf.DUMMYFUNCTION("""COMPUTED_VALUE"""),"Andreia Ferreira 🦦")</f>
        <v>Andreia Ferreira 🦦</v>
      </c>
      <c r="B249" s="1" t="str">
        <f>IFERROR(__xludf.DUMMYFUNCTION("""COMPUTED_VALUE"""),"econandreiaferr")</f>
        <v>econandreiaferr</v>
      </c>
      <c r="C249" s="1" t="str">
        <f>IFERROR(__xludf.DUMMYFUNCTION("""COMPUTED_VALUE"""),"🎶 Os dias vem e se vão
Na lavoura da vida
E o labor não é em vão  🎶")</f>
        <v>🎶 Os dias vem e se vão
Na lavoura da vida
E o labor não é em vão  🎶</v>
      </c>
      <c r="D249" s="1">
        <f>IFERROR(__xludf.DUMMYFUNCTION("""COMPUTED_VALUE"""),7.934076125018551E-4)</f>
        <v>0.0007934076125</v>
      </c>
      <c r="E249" s="3">
        <f>IFERROR(__xludf.DUMMYFUNCTION("""COMPUTED_VALUE"""),993.0)</f>
        <v>993</v>
      </c>
    </row>
    <row r="250">
      <c r="A250" s="9" t="str">
        <f>IFERROR(__xludf.DUMMYFUNCTION("""COMPUTED_VALUE"""),"Vagas de Emprego em Salvador, R Metropolitana e+")</f>
        <v>Vagas de Emprego em Salvador, R Metropolitana e+</v>
      </c>
      <c r="B250" s="1" t="str">
        <f>IFERROR(__xludf.DUMMYFUNCTION("""COMPUTED_VALUE"""),"vagasdesalvador")</f>
        <v>vagasdesalvador</v>
      </c>
      <c r="C250" s="1" t="str">
        <f>IFERROR(__xludf.DUMMYFUNCTION("""COMPUTED_VALUE"""),"Oportunidades em #Salvador/RM e...
(Não sou responsável pelas #vagas) https://t.co/O27gXsWL87
@vagasdesalvador 
🚩❤️🏳️‍🌈🏳️‍⚧️🏳")</f>
        <v>Oportunidades em #Salvador/RM e...
(Não sou responsável pelas #vagas) https://t.co/O27gXsWL87
@vagasdesalvador 
🚩❤️🏳️‍🌈🏳️‍⚧️🏳</v>
      </c>
      <c r="D250" s="1">
        <f>IFERROR(__xludf.DUMMYFUNCTION("""COMPUTED_VALUE"""),7.934076125018551E-4)</f>
        <v>0.0007934076125</v>
      </c>
      <c r="E250" s="3">
        <f>IFERROR(__xludf.DUMMYFUNCTION("""COMPUTED_VALUE"""),196.0)</f>
        <v>196</v>
      </c>
    </row>
    <row r="251">
      <c r="A251" s="9" t="str">
        <f>IFERROR(__xludf.DUMMYFUNCTION("""COMPUTED_VALUE"""),"Lins DoCeará🍞🌾💵 🇧🇷🌹")</f>
        <v>Lins DoCeará🍞🌾💵 🇧🇷🌹</v>
      </c>
      <c r="B251" s="1" t="str">
        <f>IFERROR(__xludf.DUMMYFUNCTION("""COMPUTED_VALUE"""),"linsdoceara")</f>
        <v>linsdoceara</v>
      </c>
      <c r="C251" s="1" t="str">
        <f>IFERROR(__xludf.DUMMYFUNCTION("""COMPUTED_VALUE"""),"#Soucearense, tenho um orgulho, pai d'égua de ser ,cearense  #sounordestino  https://t.co/oJhzEr1ftv")</f>
        <v>#Soucearense, tenho um orgulho, pai d'égua de ser ,cearense  #sounordestino  https://t.co/oJhzEr1ftv</v>
      </c>
      <c r="D251" s="1">
        <f>IFERROR(__xludf.DUMMYFUNCTION("""COMPUTED_VALUE"""),7.934076125018551E-4)</f>
        <v>0.0007934076125</v>
      </c>
      <c r="E251" s="3">
        <f>IFERROR(__xludf.DUMMYFUNCTION("""COMPUTED_VALUE"""),787.0)</f>
        <v>787</v>
      </c>
    </row>
    <row r="252">
      <c r="A252" s="9" t="str">
        <f>IFERROR(__xludf.DUMMYFUNCTION("""COMPUTED_VALUE"""),"Gerson Antunes Costa")</f>
        <v>Gerson Antunes Costa</v>
      </c>
      <c r="B252" s="1" t="str">
        <f>IFERROR(__xludf.DUMMYFUNCTION("""COMPUTED_VALUE"""),"gersonantunesc1")</f>
        <v>gersonantunesc1</v>
      </c>
      <c r="C252" s="1" t="str">
        <f>IFERROR(__xludf.DUMMYFUNCTION("""COMPUTED_VALUE"""),"🇵🇹 👶🏽 Oeiras, 🏘 Lisboa, 👨🏽‍💻 @wetranslate_com, 🗳 @liberalpt, 🚲☀️🏖🛩🍷🗺🍽📖")</f>
        <v>🇵🇹 👶🏽 Oeiras, 🏘 Lisboa, 👨🏽‍💻 @wetranslate_com, 🗳 @liberalpt, 🚲☀️🏖🛩🍷🗺🍽📖</v>
      </c>
      <c r="D252" s="1">
        <f>IFERROR(__xludf.DUMMYFUNCTION("""COMPUTED_VALUE"""),7.934076125018551E-4)</f>
        <v>0.0007934076125</v>
      </c>
      <c r="E252" s="3">
        <f>IFERROR(__xludf.DUMMYFUNCTION("""COMPUTED_VALUE"""),43.0)</f>
        <v>43</v>
      </c>
    </row>
    <row r="253">
      <c r="A253" s="24" t="str">
        <f>IFERROR(__xludf.DUMMYFUNCTION("""COMPUTED_VALUE"""),"Explicador-Geral da República")</f>
        <v>Explicador-Geral da República</v>
      </c>
      <c r="B253" s="1" t="str">
        <f>IFERROR(__xludf.DUMMYFUNCTION("""COMPUTED_VALUE"""),"diogojorn")</f>
        <v>diogojorn</v>
      </c>
      <c r="C253" s="1" t="str">
        <f>IFERROR(__xludf.DUMMYFUNCTION("""COMPUTED_VALUE"""),"Explico as notícias no @meexplicasite, faço o @respirobemestar, fui fellow no @youtube e @towknightcenter.")</f>
        <v>Explico as notícias no @meexplicasite, faço o @respirobemestar, fui fellow no @youtube e @towknightcenter.</v>
      </c>
      <c r="D253" s="1">
        <f>IFERROR(__xludf.DUMMYFUNCTION("""COMPUTED_VALUE"""),7.934076125018551E-4)</f>
        <v>0.0007934076125</v>
      </c>
      <c r="E253" s="3">
        <f>IFERROR(__xludf.DUMMYFUNCTION("""COMPUTED_VALUE"""),2149.0)</f>
        <v>2149</v>
      </c>
    </row>
    <row r="254">
      <c r="A254" s="24" t="str">
        <f>IFERROR(__xludf.DUMMYFUNCTION("""COMPUTED_VALUE"""),"Daniel Roggia")</f>
        <v>Daniel Roggia</v>
      </c>
      <c r="B254" s="1" t="str">
        <f>IFERROR(__xludf.DUMMYFUNCTION("""COMPUTED_VALUE"""),"roggia")</f>
        <v>roggia</v>
      </c>
      <c r="C254" s="1" t="str">
        <f>IFERROR(__xludf.DUMMYFUNCTION("""COMPUTED_VALUE"""),"Eu sou do sul")</f>
        <v>Eu sou do sul</v>
      </c>
      <c r="D254" s="1">
        <f>IFERROR(__xludf.DUMMYFUNCTION("""COMPUTED_VALUE"""),7.934076125018551E-4)</f>
        <v>0.0007934076125</v>
      </c>
      <c r="E254" s="3">
        <f>IFERROR(__xludf.DUMMYFUNCTION("""COMPUTED_VALUE"""),1188.0)</f>
        <v>1188</v>
      </c>
    </row>
    <row r="255">
      <c r="A255" s="9" t="str">
        <f>IFERROR(__xludf.DUMMYFUNCTION("""COMPUTED_VALUE"""),"Julio Rodrigues")</f>
        <v>Julio Rodrigues</v>
      </c>
      <c r="B255" s="1" t="str">
        <f>IFERROR(__xludf.DUMMYFUNCTION("""COMPUTED_VALUE"""),"j_caio_r")</f>
        <v>j_caio_r</v>
      </c>
      <c r="C255" s="1"/>
      <c r="D255" s="1">
        <f>IFERROR(__xludf.DUMMYFUNCTION("""COMPUTED_VALUE"""),7.934076125018551E-4)</f>
        <v>0.0007934076125</v>
      </c>
      <c r="E255" s="3">
        <f>IFERROR(__xludf.DUMMYFUNCTION("""COMPUTED_VALUE"""),26.0)</f>
        <v>26</v>
      </c>
    </row>
    <row r="256">
      <c r="A256" s="9" t="str">
        <f>IFERROR(__xludf.DUMMYFUNCTION("""COMPUTED_VALUE"""),"Jéssica de Lima")</f>
        <v>Jéssica de Lima</v>
      </c>
      <c r="B256" s="1" t="str">
        <f>IFERROR(__xludf.DUMMYFUNCTION("""COMPUTED_VALUE"""),"jeelimajorge")</f>
        <v>jeelimajorge</v>
      </c>
      <c r="C256" s="1"/>
      <c r="D256" s="1">
        <f>IFERROR(__xludf.DUMMYFUNCTION("""COMPUTED_VALUE"""),7.934076125018551E-4)</f>
        <v>0.0007934076125</v>
      </c>
      <c r="E256" s="3">
        <f>IFERROR(__xludf.DUMMYFUNCTION("""COMPUTED_VALUE"""),25.0)</f>
        <v>25</v>
      </c>
    </row>
    <row r="257">
      <c r="A257" s="9" t="str">
        <f>IFERROR(__xludf.DUMMYFUNCTION("""COMPUTED_VALUE"""),"Jorge Aguiar")</f>
        <v>Jorge Aguiar</v>
      </c>
      <c r="B257" s="1" t="str">
        <f>IFERROR(__xludf.DUMMYFUNCTION("""COMPUTED_VALUE"""),"jorgeag51888144")</f>
        <v>jorgeag51888144</v>
      </c>
      <c r="C257" s="1"/>
      <c r="D257" s="1">
        <f>IFERROR(__xludf.DUMMYFUNCTION("""COMPUTED_VALUE"""),7.934076125018551E-4)</f>
        <v>0.0007934076125</v>
      </c>
      <c r="E257" s="3">
        <f>IFERROR(__xludf.DUMMYFUNCTION("""COMPUTED_VALUE"""),16.0)</f>
        <v>16</v>
      </c>
    </row>
    <row r="258">
      <c r="A258" s="9" t="str">
        <f>IFERROR(__xludf.DUMMYFUNCTION("""COMPUTED_VALUE"""),"Dillan")</f>
        <v>Dillan</v>
      </c>
      <c r="B258" s="1" t="str">
        <f>IFERROR(__xludf.DUMMYFUNCTION("""COMPUTED_VALUE"""),"dillan__alves")</f>
        <v>dillan__alves</v>
      </c>
      <c r="C258" s="1" t="str">
        <f>IFERROR(__xludf.DUMMYFUNCTION("""COMPUTED_VALUE"""),"As vezes falo de mim e as vezes expresso uma idéia, nunca se sabe.
Tarólogo autodidata (Acredite no coração das cartas)")</f>
        <v>As vezes falo de mim e as vezes expresso uma idéia, nunca se sabe.
Tarólogo autodidata (Acredite no coração das cartas)</v>
      </c>
      <c r="D258" s="1">
        <f>IFERROR(__xludf.DUMMYFUNCTION("""COMPUTED_VALUE"""),7.934076125018551E-4)</f>
        <v>0.0007934076125</v>
      </c>
      <c r="E258" s="3">
        <f>IFERROR(__xludf.DUMMYFUNCTION("""COMPUTED_VALUE"""),85.0)</f>
        <v>85</v>
      </c>
    </row>
    <row r="259">
      <c r="A259" s="9" t="str">
        <f>IFERROR(__xludf.DUMMYFUNCTION("""COMPUTED_VALUE"""),"Daniel Guidotti Silva")</f>
        <v>Daniel Guidotti Silva</v>
      </c>
      <c r="B259" s="1" t="str">
        <f>IFERROR(__xludf.DUMMYFUNCTION("""COMPUTED_VALUE"""),"guidottisilva")</f>
        <v>guidottisilva</v>
      </c>
      <c r="C259" s="1" t="str">
        <f>IFERROR(__xludf.DUMMYFUNCTION("""COMPUTED_VALUE"""),"Investidor e Educador de Investimento em Renda Variável")</f>
        <v>Investidor e Educador de Investimento em Renda Variável</v>
      </c>
      <c r="D259" s="1">
        <f>IFERROR(__xludf.DUMMYFUNCTION("""COMPUTED_VALUE"""),7.934076125018551E-4)</f>
        <v>0.0007934076125</v>
      </c>
      <c r="E259" s="3">
        <f>IFERROR(__xludf.DUMMYFUNCTION("""COMPUTED_VALUE"""),1.0)</f>
        <v>1</v>
      </c>
    </row>
    <row r="260">
      <c r="A260" s="9" t="str">
        <f>IFERROR(__xludf.DUMMYFUNCTION("""COMPUTED_VALUE"""),"NOB The Entertainer")</f>
        <v>NOB The Entertainer</v>
      </c>
      <c r="B260" s="1" t="str">
        <f>IFERROR(__xludf.DUMMYFUNCTION("""COMPUTED_VALUE"""),"entertainusnob")</f>
        <v>entertainusnob</v>
      </c>
      <c r="C260" s="1" t="str">
        <f>IFERROR(__xludf.DUMMYFUNCTION("""COMPUTED_VALUE"""),"""Your unfiltered, irreverent Crypto Comedy King at your service. Unapologetically commanding laughs one roast at a time. Tag @EntertainUsNob for comedy gold.”")</f>
        <v>"Your unfiltered, irreverent Crypto Comedy King at your service. Unapologetically commanding laughs one roast at a time. Tag @EntertainUsNob for comedy gold.”</v>
      </c>
      <c r="D260" s="1">
        <f>IFERROR(__xludf.DUMMYFUNCTION("""COMPUTED_VALUE"""),7.934076125018551E-4)</f>
        <v>0.0007934076125</v>
      </c>
      <c r="E260" s="3">
        <f>IFERROR(__xludf.DUMMYFUNCTION("""COMPUTED_VALUE"""),3365.0)</f>
        <v>3365</v>
      </c>
    </row>
    <row r="261">
      <c r="A261" s="9" t="str">
        <f>IFERROR(__xludf.DUMMYFUNCTION("""COMPUTED_VALUE"""),"Eduardo Lazzaretti, CFA")</f>
        <v>Eduardo Lazzaretti, CFA</v>
      </c>
      <c r="B261" s="1" t="str">
        <f>IFERROR(__xludf.DUMMYFUNCTION("""COMPUTED_VALUE"""),"ejlazzaretti")</f>
        <v>ejlazzaretti</v>
      </c>
      <c r="C261" s="1" t="str">
        <f>IFERROR(__xludf.DUMMYFUNCTION("""COMPUTED_VALUE"""),"☕️")</f>
        <v>☕️</v>
      </c>
      <c r="D261" s="1">
        <f>IFERROR(__xludf.DUMMYFUNCTION("""COMPUTED_VALUE"""),7.934076125018551E-4)</f>
        <v>0.0007934076125</v>
      </c>
      <c r="E261" s="3">
        <f>IFERROR(__xludf.DUMMYFUNCTION("""COMPUTED_VALUE"""),87.0)</f>
        <v>87</v>
      </c>
    </row>
    <row r="262">
      <c r="A262" s="9" t="str">
        <f>IFERROR(__xludf.DUMMYFUNCTION("""COMPUTED_VALUE"""),"comunicadordascomunidades")</f>
        <v>comunicadordascomunidades</v>
      </c>
      <c r="B262" s="1" t="str">
        <f>IFERROR(__xludf.DUMMYFUNCTION("""COMPUTED_VALUE"""),"anastaciopbjpa")</f>
        <v>anastaciopbjpa</v>
      </c>
      <c r="C262" s="1"/>
      <c r="D262" s="1">
        <f>IFERROR(__xludf.DUMMYFUNCTION("""COMPUTED_VALUE"""),7.934076125018551E-4)</f>
        <v>0.0007934076125</v>
      </c>
      <c r="E262" s="3">
        <f>IFERROR(__xludf.DUMMYFUNCTION("""COMPUTED_VALUE"""),597.0)</f>
        <v>597</v>
      </c>
    </row>
    <row r="263">
      <c r="A263" s="9" t="str">
        <f>IFERROR(__xludf.DUMMYFUNCTION("""COMPUTED_VALUE"""),"Anderson de Andrade")</f>
        <v>Anderson de Andrade</v>
      </c>
      <c r="B263" s="1" t="str">
        <f>IFERROR(__xludf.DUMMYFUNCTION("""COMPUTED_VALUE"""),"anderson77i")</f>
        <v>anderson77i</v>
      </c>
      <c r="C263" s="1" t="str">
        <f>IFERROR(__xludf.DUMMYFUNCTION("""COMPUTED_VALUE"""),"VP @ Organizze Membro do Conselho de Administração @ Brivia Group Empreendedor e investidor serial apaixonado por scale-ups e venture capital")</f>
        <v>VP @ Organizze Membro do Conselho de Administração @ Brivia Group Empreendedor e investidor serial apaixonado por scale-ups e venture capital</v>
      </c>
      <c r="D263" s="1">
        <f>IFERROR(__xludf.DUMMYFUNCTION("""COMPUTED_VALUE"""),7.934076125018551E-4)</f>
        <v>0.0007934076125</v>
      </c>
      <c r="E263" s="3">
        <f>IFERROR(__xludf.DUMMYFUNCTION("""COMPUTED_VALUE"""),2034.0)</f>
        <v>2034</v>
      </c>
    </row>
    <row r="264">
      <c r="A264" s="9" t="str">
        <f>IFERROR(__xludf.DUMMYFUNCTION("""COMPUTED_VALUE"""),"Um jovem do Sambizanga 🇦🇴")</f>
        <v>Um jovem do Sambizanga 🇦🇴</v>
      </c>
      <c r="B264" s="1" t="str">
        <f>IFERROR(__xludf.DUMMYFUNCTION("""COMPUTED_VALUE"""),"emykey05")</f>
        <v>emykey05</v>
      </c>
      <c r="C264" s="1" t="str">
        <f>IFERROR(__xludf.DUMMYFUNCTION("""COMPUTED_VALUE"""),"HÍBRIDO 🤖
coisas Bonitas https://t.co/B6anoj7YBm")</f>
        <v>HÍBRIDO 🤖
coisas Bonitas https://t.co/B6anoj7YBm</v>
      </c>
      <c r="D264" s="1">
        <f>IFERROR(__xludf.DUMMYFUNCTION("""COMPUTED_VALUE"""),7.934076125018551E-4)</f>
        <v>0.0007934076125</v>
      </c>
      <c r="E264" s="3">
        <f>IFERROR(__xludf.DUMMYFUNCTION("""COMPUTED_VALUE"""),207.0)</f>
        <v>207</v>
      </c>
    </row>
    <row r="265">
      <c r="A265" s="24" t="str">
        <f>IFERROR(__xludf.DUMMYFUNCTION("""COMPUTED_VALUE"""),"MBL Paraná")</f>
        <v>MBL Paraná</v>
      </c>
      <c r="B265" s="1" t="str">
        <f>IFERROR(__xludf.DUMMYFUNCTION("""COMPUTED_VALUE"""),"mblparana")</f>
        <v>mblparana</v>
      </c>
      <c r="C265" s="1" t="str">
        <f>IFERROR(__xludf.DUMMYFUNCTION("""COMPUTED_VALUE"""),"⚖️Vamos #juntos #lutar pelo #Paraná que queremos faça parte do #MBLParana 🗣️")</f>
        <v>⚖️Vamos #juntos #lutar pelo #Paraná que queremos faça parte do #MBLParana 🗣️</v>
      </c>
      <c r="D265" s="1">
        <f>IFERROR(__xludf.DUMMYFUNCTION("""COMPUTED_VALUE"""),7.934076125018551E-4)</f>
        <v>0.0007934076125</v>
      </c>
      <c r="E265" s="3">
        <f>IFERROR(__xludf.DUMMYFUNCTION("""COMPUTED_VALUE"""),1981.0)</f>
        <v>1981</v>
      </c>
    </row>
    <row r="266">
      <c r="A266" s="9" t="str">
        <f>IFERROR(__xludf.DUMMYFUNCTION("""COMPUTED_VALUE"""),"Islamic Finance &amp; Banking Summit")</f>
        <v>Islamic Finance &amp; Banking Summit</v>
      </c>
      <c r="B266" s="1" t="str">
        <f>IFERROR(__xludf.DUMMYFUNCTION("""COMPUTED_VALUE"""),"islamicsummit")</f>
        <v>islamicsummit</v>
      </c>
      <c r="C266" s="1" t="str">
        <f>IFERROR(__xludf.DUMMYFUNCTION("""COMPUTED_VALUE"""),"The 2nd Edition Islamic Finance and Banking Summit, KSA a strategic hybrid event, comes to Riyadh, Saudi Arabia after a successful ﬁrst edition in Dubai, UAE.")</f>
        <v>The 2nd Edition Islamic Finance and Banking Summit, KSA a strategic hybrid event, comes to Riyadh, Saudi Arabia after a successful ﬁrst edition in Dubai, UAE.</v>
      </c>
      <c r="D266" s="1">
        <f>IFERROR(__xludf.DUMMYFUNCTION("""COMPUTED_VALUE"""),7.934076125018551E-4)</f>
        <v>0.0007934076125</v>
      </c>
      <c r="E266" s="3">
        <f>IFERROR(__xludf.DUMMYFUNCTION("""COMPUTED_VALUE"""),6.0)</f>
        <v>6</v>
      </c>
    </row>
    <row r="267">
      <c r="A267" s="24" t="str">
        <f>IFERROR(__xludf.DUMMYFUNCTION("""COMPUTED_VALUE"""),"Câmara Municipal de João Pessoa")</f>
        <v>Câmara Municipal de João Pessoa</v>
      </c>
      <c r="B267" s="1" t="str">
        <f>IFERROR(__xludf.DUMMYFUNCTION("""COMPUTED_VALUE"""),"camarajp")</f>
        <v>camarajp</v>
      </c>
      <c r="C267" s="1" t="str">
        <f>IFERROR(__xludf.DUMMYFUNCTION("""COMPUTED_VALUE"""),"Perfil oficial da Casa do Povo.
Siga-nos e fique por dentro de tudo!")</f>
        <v>Perfil oficial da Casa do Povo.
Siga-nos e fique por dentro de tudo!</v>
      </c>
      <c r="D267" s="1">
        <f>IFERROR(__xludf.DUMMYFUNCTION("""COMPUTED_VALUE"""),7.934076125018551E-4)</f>
        <v>0.0007934076125</v>
      </c>
      <c r="E267" s="3">
        <f>IFERROR(__xludf.DUMMYFUNCTION("""COMPUTED_VALUE"""),8222.0)</f>
        <v>8222</v>
      </c>
    </row>
    <row r="268">
      <c r="A268" s="9" t="str">
        <f>IFERROR(__xludf.DUMMYFUNCTION("""COMPUTED_VALUE"""),"Gabriela Procópio")</f>
        <v>Gabriela Procópio</v>
      </c>
      <c r="B268" s="1" t="str">
        <f>IFERROR(__xludf.DUMMYFUNCTION("""COMPUTED_VALUE"""),"gabrielaprocpi9")</f>
        <v>gabrielaprocpi9</v>
      </c>
      <c r="C268" s="1"/>
      <c r="D268" s="1">
        <f>IFERROR(__xludf.DUMMYFUNCTION("""COMPUTED_VALUE"""),7.934076125018551E-4)</f>
        <v>0.0007934076125</v>
      </c>
      <c r="E268" s="3">
        <f>IFERROR(__xludf.DUMMYFUNCTION("""COMPUTED_VALUE"""),2.0)</f>
        <v>2</v>
      </c>
    </row>
    <row r="269">
      <c r="A269" s="9" t="str">
        <f>IFERROR(__xludf.DUMMYFUNCTION("""COMPUTED_VALUE"""),"Átila Leal")</f>
        <v>Átila Leal</v>
      </c>
      <c r="B269" s="1" t="str">
        <f>IFERROR(__xludf.DUMMYFUNCTION("""COMPUTED_VALUE"""),"grdotrader")</f>
        <v>grdotrader</v>
      </c>
      <c r="C269" s="1" t="str">
        <f>IFERROR(__xludf.DUMMYFUNCTION("""COMPUTED_VALUE"""),"Aqui escrevo sobre gerenciamento de risco no trading e o que me der vontade. ¯\_(ツ)_/¯")</f>
        <v>Aqui escrevo sobre gerenciamento de risco no trading e o que me der vontade. ¯\_(ツ)_/¯</v>
      </c>
      <c r="D269" s="1">
        <f>IFERROR(__xludf.DUMMYFUNCTION("""COMPUTED_VALUE"""),7.934076125018551E-4)</f>
        <v>0.0007934076125</v>
      </c>
      <c r="E269" s="3">
        <f>IFERROR(__xludf.DUMMYFUNCTION("""COMPUTED_VALUE"""),57.0)</f>
        <v>57</v>
      </c>
    </row>
    <row r="270">
      <c r="A270" s="9" t="str">
        <f>IFERROR(__xludf.DUMMYFUNCTION("""COMPUTED_VALUE"""),"Broadcast")</f>
        <v>Broadcast</v>
      </c>
      <c r="B270" s="1" t="str">
        <f>IFERROR(__xludf.DUMMYFUNCTION("""COMPUTED_VALUE"""),"agenciaestado")</f>
        <v>agenciaestado</v>
      </c>
      <c r="C270" s="1" t="str">
        <f>IFERROR(__xludf.DUMMYFUNCTION("""COMPUTED_VALUE"""),"O melhor conteúdo para a sua tomada de decisão.")</f>
        <v>O melhor conteúdo para a sua tomada de decisão.</v>
      </c>
      <c r="D270" s="1">
        <f>IFERROR(__xludf.DUMMYFUNCTION("""COMPUTED_VALUE"""),7.934076125018551E-4)</f>
        <v>0.0007934076125</v>
      </c>
      <c r="E270" s="3">
        <f>IFERROR(__xludf.DUMMYFUNCTION("""COMPUTED_VALUE"""),78208.0)</f>
        <v>78208</v>
      </c>
    </row>
    <row r="271">
      <c r="A271" s="9" t="str">
        <f>IFERROR(__xludf.DUMMYFUNCTION("""COMPUTED_VALUE"""),"Lidia Aleixo")</f>
        <v>Lidia Aleixo</v>
      </c>
      <c r="B271" s="1" t="str">
        <f>IFERROR(__xludf.DUMMYFUNCTION("""COMPUTED_VALUE"""),"lidialuciara")</f>
        <v>lidialuciara</v>
      </c>
      <c r="C271" s="1" t="str">
        <f>IFERROR(__xludf.DUMMYFUNCTION("""COMPUTED_VALUE"""),"Consultora Financeira | Economia | Valuation")</f>
        <v>Consultora Financeira | Economia | Valuation</v>
      </c>
      <c r="D271" s="1">
        <f>IFERROR(__xludf.DUMMYFUNCTION("""COMPUTED_VALUE"""),7.934076125018551E-4)</f>
        <v>0.0007934076125</v>
      </c>
      <c r="E271" s="3">
        <f>IFERROR(__xludf.DUMMYFUNCTION("""COMPUTED_VALUE"""),3.0)</f>
        <v>3</v>
      </c>
    </row>
    <row r="272">
      <c r="A272" s="9" t="str">
        <f>IFERROR(__xludf.DUMMYFUNCTION("""COMPUTED_VALUE"""),"MarcoAntonioNicolau 🥶")</f>
        <v>MarcoAntonioNicolau 🥶</v>
      </c>
      <c r="B272" s="1" t="str">
        <f>IFERROR(__xludf.DUMMYFUNCTION("""COMPUTED_VALUE"""),"dnavegacao")</f>
        <v>dnavegacao</v>
      </c>
      <c r="C272" s="1" t="str">
        <f>IFERROR(__xludf.DUMMYFUNCTION("""COMPUTED_VALUE"""),"puxe uma cadeira | pegue um café |
conte uma história | me ensine alguma coisa | um pouco de tudo")</f>
        <v>puxe uma cadeira | pegue um café |
conte uma história | me ensine alguma coisa | um pouco de tudo</v>
      </c>
      <c r="D272" s="1">
        <f>IFERROR(__xludf.DUMMYFUNCTION("""COMPUTED_VALUE"""),7.934076125018551E-4)</f>
        <v>0.0007934076125</v>
      </c>
      <c r="E272" s="3">
        <f>IFERROR(__xludf.DUMMYFUNCTION("""COMPUTED_VALUE"""),82.0)</f>
        <v>82</v>
      </c>
    </row>
    <row r="273">
      <c r="A273" s="9" t="str">
        <f>IFERROR(__xludf.DUMMYFUNCTION("""COMPUTED_VALUE"""),"FR money Matters")</f>
        <v>FR money Matters</v>
      </c>
      <c r="B273" s="1" t="str">
        <f>IFERROR(__xludf.DUMMYFUNCTION("""COMPUTED_VALUE"""),"francisinvicto")</f>
        <v>francisinvicto</v>
      </c>
      <c r="C273" s="1" t="str">
        <f>IFERROR(__xludf.DUMMYFUNCTION("""COMPUTED_VALUE"""),"CONTA PRINCIPAL  💸 VENDAS E DIVULGAÇÕES 💥FREELANCER 💼🤝 SOCIEDADE 📈 INVESTIMENTOS 📲💲MARKETING DIGITAL #TXP📨")</f>
        <v>CONTA PRINCIPAL  💸 VENDAS E DIVULGAÇÕES 💥FREELANCER 💼🤝 SOCIEDADE 📈 INVESTIMENTOS 📲💲MARKETING DIGITAL #TXP📨</v>
      </c>
      <c r="D273" s="1">
        <f>IFERROR(__xludf.DUMMYFUNCTION("""COMPUTED_VALUE"""),7.934076125018551E-4)</f>
        <v>0.0007934076125</v>
      </c>
      <c r="E273" s="3">
        <f>IFERROR(__xludf.DUMMYFUNCTION("""COMPUTED_VALUE"""),55.0)</f>
        <v>55</v>
      </c>
    </row>
    <row r="274">
      <c r="A274" s="9" t="str">
        <f>IFERROR(__xludf.DUMMYFUNCTION("""COMPUTED_VALUE"""),"SeaKo")</f>
        <v>SeaKo</v>
      </c>
      <c r="B274" s="1" t="str">
        <f>IFERROR(__xludf.DUMMYFUNCTION("""COMPUTED_VALUE"""),"seakopt")</f>
        <v>seakopt</v>
      </c>
      <c r="C274" s="1" t="str">
        <f>IFERROR(__xludf.DUMMYFUNCTION("""COMPUTED_VALUE"""),"Don't know yet!")</f>
        <v>Don't know yet!</v>
      </c>
      <c r="D274" s="1">
        <f>IFERROR(__xludf.DUMMYFUNCTION("""COMPUTED_VALUE"""),7.934076125018551E-4)</f>
        <v>0.0007934076125</v>
      </c>
      <c r="E274" s="3">
        <f>IFERROR(__xludf.DUMMYFUNCTION("""COMPUTED_VALUE"""),275.0)</f>
        <v>275</v>
      </c>
    </row>
    <row r="275">
      <c r="A275" s="9" t="str">
        <f>IFERROR(__xludf.DUMMYFUNCTION("""COMPUTED_VALUE"""),"Thiago Rogel")</f>
        <v>Thiago Rogel</v>
      </c>
      <c r="B275" s="1" t="str">
        <f>IFERROR(__xludf.DUMMYFUNCTION("""COMPUTED_VALUE"""),"thiagorogel")</f>
        <v>thiagorogel</v>
      </c>
      <c r="C275" s="1" t="str">
        <f>IFERROR(__xludf.DUMMYFUNCTION("""COMPUTED_VALUE"""),"✝EuAmoJESUS ❤Deus &amp; família, Casado, SEP Palestrino, Apaixonado Vida: escrita, poesia, música e leitura inovação, negócios, futebol, entender shopper")</f>
        <v>✝EuAmoJESUS ❤Deus &amp; família, Casado, SEP Palestrino, Apaixonado Vida: escrita, poesia, música e leitura inovação, negócios, futebol, entender shopper</v>
      </c>
      <c r="D275" s="1">
        <f>IFERROR(__xludf.DUMMYFUNCTION("""COMPUTED_VALUE"""),7.934076125018551E-4)</f>
        <v>0.0007934076125</v>
      </c>
      <c r="E275" s="3">
        <f>IFERROR(__xludf.DUMMYFUNCTION("""COMPUTED_VALUE"""),404.0)</f>
        <v>404</v>
      </c>
    </row>
    <row r="276">
      <c r="A276" s="9" t="str">
        <f>IFERROR(__xludf.DUMMYFUNCTION("""COMPUTED_VALUE"""),"Maria Aparecida")</f>
        <v>Maria Aparecida</v>
      </c>
      <c r="B276" s="1" t="str">
        <f>IFERROR(__xludf.DUMMYFUNCTION("""COMPUTED_VALUE"""),"mariaap28183165")</f>
        <v>mariaap28183165</v>
      </c>
      <c r="C276" s="1" t="str">
        <f>IFERROR(__xludf.DUMMYFUNCTION("""COMPUTED_VALUE"""),"Professora de educação in")</f>
        <v>Professora de educação in</v>
      </c>
      <c r="D276" s="1">
        <f>IFERROR(__xludf.DUMMYFUNCTION("""COMPUTED_VALUE"""),7.934076125018551E-4)</f>
        <v>0.0007934076125</v>
      </c>
      <c r="E276" s="3">
        <f>IFERROR(__xludf.DUMMYFUNCTION("""COMPUTED_VALUE"""),37.0)</f>
        <v>37</v>
      </c>
    </row>
    <row r="277">
      <c r="A277" s="9" t="str">
        <f>IFERROR(__xludf.DUMMYFUNCTION("""COMPUTED_VALUE"""),"Crypto Hero")</f>
        <v>Crypto Hero</v>
      </c>
      <c r="B277" s="1" t="str">
        <f>IFERROR(__xludf.DUMMYFUNCTION("""COMPUTED_VALUE"""),"cryptoherobr")</f>
        <v>cryptoherobr</v>
      </c>
      <c r="C277" s="1" t="str">
        <f>IFERROR(__xludf.DUMMYFUNCTION("""COMPUTED_VALUE"""),"A startup que salva o dia de quem quer investir em cripto com praticidade, segurança e poucos cliques.")</f>
        <v>A startup que salva o dia de quem quer investir em cripto com praticidade, segurança e poucos cliques.</v>
      </c>
      <c r="D277" s="1">
        <f>IFERROR(__xludf.DUMMYFUNCTION("""COMPUTED_VALUE"""),7.934076125018551E-4)</f>
        <v>0.0007934076125</v>
      </c>
      <c r="E277" s="3">
        <f>IFERROR(__xludf.DUMMYFUNCTION("""COMPUTED_VALUE"""),21.0)</f>
        <v>21</v>
      </c>
    </row>
    <row r="278">
      <c r="A278" s="9" t="str">
        <f>IFERROR(__xludf.DUMMYFUNCTION("""COMPUTED_VALUE"""),"Central dos Cursos")</f>
        <v>Central dos Cursos</v>
      </c>
      <c r="B278" s="1" t="str">
        <f>IFERROR(__xludf.DUMMYFUNCTION("""COMPUTED_VALUE"""),"centralcursoss")</f>
        <v>centralcursoss</v>
      </c>
      <c r="C278" s="1" t="str">
        <f>IFERROR(__xludf.DUMMYFUNCTION("""COMPUTED_VALUE"""),"Núcleo e Central de Cursos Livres Online/EaD | Cursos Seguros e Reconhecidos |ABED | Confira mais #Cursos fiscalizados no link(URL):")</f>
        <v>Núcleo e Central de Cursos Livres Online/EaD | Cursos Seguros e Reconhecidos |ABED | Confira mais #Cursos fiscalizados no link(URL):</v>
      </c>
      <c r="D278" s="1">
        <f>IFERROR(__xludf.DUMMYFUNCTION("""COMPUTED_VALUE"""),7.934076125018551E-4)</f>
        <v>0.0007934076125</v>
      </c>
      <c r="E278" s="3">
        <f>IFERROR(__xludf.DUMMYFUNCTION("""COMPUTED_VALUE"""),152.0)</f>
        <v>152</v>
      </c>
    </row>
    <row r="279">
      <c r="A279" s="9" t="str">
        <f>IFERROR(__xludf.DUMMYFUNCTION("""COMPUTED_VALUE"""),"Paulo Cesar Bastos")</f>
        <v>Paulo Cesar Bastos</v>
      </c>
      <c r="B279" s="1" t="str">
        <f>IFERROR(__xludf.DUMMYFUNCTION("""COMPUTED_VALUE"""),"paulocbastos")</f>
        <v>paulocbastos</v>
      </c>
      <c r="C279" s="1" t="str">
        <f>IFERROR(__xludf.DUMMYFUNCTION("""COMPUTED_VALUE"""),"Engenheiro civil")</f>
        <v>Engenheiro civil</v>
      </c>
      <c r="D279" s="1">
        <f>IFERROR(__xludf.DUMMYFUNCTION("""COMPUTED_VALUE"""),7.934076125018551E-4)</f>
        <v>0.0007934076125</v>
      </c>
      <c r="E279" s="3">
        <f>IFERROR(__xludf.DUMMYFUNCTION("""COMPUTED_VALUE"""),212.0)</f>
        <v>212</v>
      </c>
    </row>
    <row r="280">
      <c r="A280" s="24" t="str">
        <f>IFERROR(__xludf.DUMMYFUNCTION("""COMPUTED_VALUE"""),"🇧🇷RMStudio🇧🇷")</f>
        <v>🇧🇷RMStudio🇧🇷</v>
      </c>
      <c r="B280" s="1" t="str">
        <f>IFERROR(__xludf.DUMMYFUNCTION("""COMPUTED_VALUE"""),"portomario")</f>
        <v>portomario</v>
      </c>
      <c r="C280" s="1" t="str">
        <f>IFERROR(__xludf.DUMMYFUNCTION("""COMPUTED_VALUE"""),"-Senhor, permita que meus desejos estejam em conformidade com a Tua vontade e que eu possa ser purificado de tudo o que não Te agrada.🔗rmsportostudio@gmail.com")</f>
        <v>-Senhor, permita que meus desejos estejam em conformidade com a Tua vontade e que eu possa ser purificado de tudo o que não Te agrada.🔗rmsportostudio@gmail.com</v>
      </c>
      <c r="D280" s="1">
        <f>IFERROR(__xludf.DUMMYFUNCTION("""COMPUTED_VALUE"""),7.934076125018551E-4)</f>
        <v>0.0007934076125</v>
      </c>
      <c r="E280" s="3">
        <f>IFERROR(__xludf.DUMMYFUNCTION("""COMPUTED_VALUE"""),7570.0)</f>
        <v>7570</v>
      </c>
    </row>
    <row r="281">
      <c r="A281" s="9" t="str">
        <f>IFERROR(__xludf.DUMMYFUNCTION("""COMPUTED_VALUE"""),"Marcos A. Cypreste")</f>
        <v>Marcos A. Cypreste</v>
      </c>
      <c r="B281" s="1" t="str">
        <f>IFERROR(__xludf.DUMMYFUNCTION("""COMPUTED_VALUE"""),"marcosacyprest1")</f>
        <v>marcosacyprest1</v>
      </c>
      <c r="C281" s="1"/>
      <c r="D281" s="1">
        <f>IFERROR(__xludf.DUMMYFUNCTION("""COMPUTED_VALUE"""),7.934076125018551E-4)</f>
        <v>0.0007934076125</v>
      </c>
      <c r="E281" s="3">
        <f>IFERROR(__xludf.DUMMYFUNCTION("""COMPUTED_VALUE"""),3798.0)</f>
        <v>3798</v>
      </c>
    </row>
    <row r="282">
      <c r="A282" s="9" t="str">
        <f>IFERROR(__xludf.DUMMYFUNCTION("""COMPUTED_VALUE"""),"Fly Vagner")</f>
        <v>Fly Vagner</v>
      </c>
      <c r="B282" s="1" t="str">
        <f>IFERROR(__xludf.DUMMYFUNCTION("""COMPUTED_VALUE"""),"flyvagner")</f>
        <v>flyvagner</v>
      </c>
      <c r="C282" s="1" t="str">
        <f>IFERROR(__xludf.DUMMYFUNCTION("""COMPUTED_VALUE"""),"Diretor Artístico, Apresentador e Palestrante.")</f>
        <v>Diretor Artístico, Apresentador e Palestrante.</v>
      </c>
      <c r="D282" s="1">
        <f>IFERROR(__xludf.DUMMYFUNCTION("""COMPUTED_VALUE"""),7.934076125018551E-4)</f>
        <v>0.0007934076125</v>
      </c>
      <c r="E282" s="3">
        <f>IFERROR(__xludf.DUMMYFUNCTION("""COMPUTED_VALUE"""),205.0)</f>
        <v>205</v>
      </c>
    </row>
    <row r="283">
      <c r="A283" s="9" t="str">
        <f>IFERROR(__xludf.DUMMYFUNCTION("""COMPUTED_VALUE"""),"𝕃𝕚𝕣𝕚𝕔𝕠 24")</f>
        <v>𝕃𝕚𝕣𝕚𝕔𝕠 24</v>
      </c>
      <c r="B283" s="1" t="str">
        <f>IFERROR(__xludf.DUMMYFUNCTION("""COMPUTED_VALUE"""),"andredesofia")</f>
        <v>andredesofia</v>
      </c>
      <c r="C283" s="1" t="str">
        <f>IFERROR(__xludf.DUMMYFUNCTION("""COMPUTED_VALUE"""),"Académico, Atleta e Téc. De Estatística")</f>
        <v>Académico, Atleta e Téc. De Estatística</v>
      </c>
      <c r="D283" s="1">
        <f>IFERROR(__xludf.DUMMYFUNCTION("""COMPUTED_VALUE"""),7.934076125018551E-4)</f>
        <v>0.0007934076125</v>
      </c>
      <c r="E283" s="3">
        <f>IFERROR(__xludf.DUMMYFUNCTION("""COMPUTED_VALUE"""),15.0)</f>
        <v>15</v>
      </c>
    </row>
    <row r="284">
      <c r="A284" s="9" t="str">
        <f>IFERROR(__xludf.DUMMYFUNCTION("""COMPUTED_VALUE"""),"Abner Luciano")</f>
        <v>Abner Luciano</v>
      </c>
      <c r="B284" s="1" t="str">
        <f>IFERROR(__xludf.DUMMYFUNCTION("""COMPUTED_VALUE"""),"abnerluciano")</f>
        <v>abnerluciano</v>
      </c>
      <c r="C284" s="1" t="str">
        <f>IFERROR(__xludf.DUMMYFUNCTION("""COMPUTED_VALUE"""),"Gearhead
Futuro em Engenheiro
Pai de primeira viagem 
Nascido e criado no gueto
Príncipe Latino
Nego Drama")</f>
        <v>Gearhead
Futuro em Engenheiro
Pai de primeira viagem 
Nascido e criado no gueto
Príncipe Latino
Nego Drama</v>
      </c>
      <c r="D284" s="1">
        <f>IFERROR(__xludf.DUMMYFUNCTION("""COMPUTED_VALUE"""),7.934076125018551E-4)</f>
        <v>0.0007934076125</v>
      </c>
      <c r="E284" s="3">
        <f>IFERROR(__xludf.DUMMYFUNCTION("""COMPUTED_VALUE"""),9.0)</f>
        <v>9</v>
      </c>
    </row>
    <row r="285">
      <c r="A285" s="9" t="str">
        <f>IFERROR(__xludf.DUMMYFUNCTION("""COMPUTED_VALUE"""),"ricardo schramm")</f>
        <v>ricardo schramm</v>
      </c>
      <c r="B285" s="1" t="str">
        <f>IFERROR(__xludf.DUMMYFUNCTION("""COMPUTED_VALUE"""),"ricardoschramm")</f>
        <v>ricardoschramm</v>
      </c>
      <c r="C285" s="1" t="str">
        <f>IFERROR(__xludf.DUMMYFUNCTION("""COMPUTED_VALUE"""),"Falo sobre futebol, atualidades e assuntos gerais. Sobre cerveja, empreendedorismo e design.")</f>
        <v>Falo sobre futebol, atualidades e assuntos gerais. Sobre cerveja, empreendedorismo e design.</v>
      </c>
      <c r="D285" s="1">
        <f>IFERROR(__xludf.DUMMYFUNCTION("""COMPUTED_VALUE"""),7.934076125018551E-4)</f>
        <v>0.0007934076125</v>
      </c>
      <c r="E285" s="3">
        <f>IFERROR(__xludf.DUMMYFUNCTION("""COMPUTED_VALUE"""),273.0)</f>
        <v>273</v>
      </c>
    </row>
    <row r="286">
      <c r="A286" s="9" t="str">
        <f>IFERROR(__xludf.DUMMYFUNCTION("""COMPUTED_VALUE"""),"mauricionefsconexaodigital@gmail.com")</f>
        <v>mauricionefsconexaodigital@gmail.com</v>
      </c>
      <c r="B286" s="1" t="str">
        <f>IFERROR(__xludf.DUMMYFUNCTION("""COMPUTED_VALUE"""),"mauriciomoega")</f>
        <v>mauriciomoega</v>
      </c>
      <c r="C286" s="1"/>
      <c r="D286" s="1">
        <f>IFERROR(__xludf.DUMMYFUNCTION("""COMPUTED_VALUE"""),7.934076125018551E-4)</f>
        <v>0.0007934076125</v>
      </c>
      <c r="E286" s="3">
        <f>IFERROR(__xludf.DUMMYFUNCTION("""COMPUTED_VALUE"""),7.0)</f>
        <v>7</v>
      </c>
    </row>
    <row r="287">
      <c r="A287" s="9" t="str">
        <f>IFERROR(__xludf.DUMMYFUNCTION("""COMPUTED_VALUE"""),"Celo")</f>
        <v>Celo</v>
      </c>
      <c r="B287" s="1" t="str">
        <f>IFERROR(__xludf.DUMMYFUNCTION("""COMPUTED_VALUE"""),"malelo2711")</f>
        <v>malelo2711</v>
      </c>
      <c r="C287" s="1" t="str">
        <f>IFERROR(__xludf.DUMMYFUNCTION("""COMPUTED_VALUE"""),"DEMOCRACIA")</f>
        <v>DEMOCRACIA</v>
      </c>
      <c r="D287" s="1">
        <f>IFERROR(__xludf.DUMMYFUNCTION("""COMPUTED_VALUE"""),7.934076125018551E-4)</f>
        <v>0.0007934076125</v>
      </c>
      <c r="E287" s="3">
        <f>IFERROR(__xludf.DUMMYFUNCTION("""COMPUTED_VALUE"""),322.0)</f>
        <v>322</v>
      </c>
    </row>
    <row r="288">
      <c r="A288" s="9" t="str">
        <f>IFERROR(__xludf.DUMMYFUNCTION("""COMPUTED_VALUE"""),"MultiMidia Info")</f>
        <v>MultiMidia Info</v>
      </c>
      <c r="B288" s="1" t="str">
        <f>IFERROR(__xludf.DUMMYFUNCTION("""COMPUTED_VALUE"""),"multimidiainfo")</f>
        <v>multimidiainfo</v>
      </c>
      <c r="C288" s="1" t="str">
        <f>IFERROR(__xludf.DUMMYFUNCTION("""COMPUTED_VALUE"""),"Tecnologia, Mercado financeiro, Cenário musical, Notícias locais e+. #MultiMidiaInfo
Se inscreva em nosso canal do YouTube:
https://t.co/0EvvE3Jzv8")</f>
        <v>Tecnologia, Mercado financeiro, Cenário musical, Notícias locais e+. #MultiMidiaInfo
Se inscreva em nosso canal do YouTube:
https://t.co/0EvvE3Jzv8</v>
      </c>
      <c r="D288" s="1">
        <f>IFERROR(__xludf.DUMMYFUNCTION("""COMPUTED_VALUE"""),7.934076125018551E-4)</f>
        <v>0.0007934076125</v>
      </c>
      <c r="E288" s="3">
        <f>IFERROR(__xludf.DUMMYFUNCTION("""COMPUTED_VALUE"""),15134.0)</f>
        <v>15134</v>
      </c>
    </row>
    <row r="289">
      <c r="A289" s="9" t="str">
        <f>IFERROR(__xludf.DUMMYFUNCTION("""COMPUTED_VALUE"""),"Tania Cristina")</f>
        <v>Tania Cristina</v>
      </c>
      <c r="B289" s="1" t="str">
        <f>IFERROR(__xludf.DUMMYFUNCTION("""COMPUTED_VALUE"""),"soutaniacris")</f>
        <v>soutaniacris</v>
      </c>
      <c r="C289" s="1"/>
      <c r="D289" s="1">
        <f>IFERROR(__xludf.DUMMYFUNCTION("""COMPUTED_VALUE"""),7.934076125018551E-4)</f>
        <v>0.0007934076125</v>
      </c>
      <c r="E289" s="3">
        <f>IFERROR(__xludf.DUMMYFUNCTION("""COMPUTED_VALUE"""),86.0)</f>
        <v>86</v>
      </c>
    </row>
    <row r="290">
      <c r="A290" s="9" t="str">
        <f>IFERROR(__xludf.DUMMYFUNCTION("""COMPUTED_VALUE"""),"TAYLOR VARRENDO A RUA EM KARMA RJ n1 e SP n2")</f>
        <v>TAYLOR VARRENDO A RUA EM KARMA RJ n1 e SP n2</v>
      </c>
      <c r="B290" s="1" t="str">
        <f>IFERROR(__xludf.DUMMYFUNCTION("""COMPUTED_VALUE"""),"judiasdemim")</f>
        <v>judiasdemim</v>
      </c>
      <c r="C290" s="1" t="str">
        <f>IFERROR(__xludf.DUMMYFUNCTION("""COMPUTED_VALUE"""),"esse perfil fala de política, homossexualidade, mundo pop e taylor swift
politica :9hs as 17hs
homossexualidade e afins: 24h/7d")</f>
        <v>esse perfil fala de política, homossexualidade, mundo pop e taylor swift
politica :9hs as 17hs
homossexualidade e afins: 24h/7d</v>
      </c>
      <c r="D290" s="1">
        <f>IFERROR(__xludf.DUMMYFUNCTION("""COMPUTED_VALUE"""),7.934076125018551E-4)</f>
        <v>0.0007934076125</v>
      </c>
      <c r="E290" s="3">
        <f>IFERROR(__xludf.DUMMYFUNCTION("""COMPUTED_VALUE"""),91.0)</f>
        <v>91</v>
      </c>
    </row>
    <row r="291">
      <c r="A291" s="9" t="str">
        <f>IFERROR(__xludf.DUMMYFUNCTION("""COMPUTED_VALUE"""),"Canal Bola de CAPOTÃO - Prof. PR")</f>
        <v>Canal Bola de CAPOTÃO - Prof. PR</v>
      </c>
      <c r="B291" s="1" t="str">
        <f>IFERROR(__xludf.DUMMYFUNCTION("""COMPUTED_VALUE"""),"umempreendedor")</f>
        <v>umempreendedor</v>
      </c>
      <c r="C291" s="1" t="str">
        <f>IFERROR(__xludf.DUMMYFUNCTION("""COMPUTED_VALUE"""),"Sua resenha semanal, nossos comentaristas que NÃO sabem NADA de futebol vão resenhar com vcs.")</f>
        <v>Sua resenha semanal, nossos comentaristas que NÃO sabem NADA de futebol vão resenhar com vcs.</v>
      </c>
      <c r="D291" s="1">
        <f>IFERROR(__xludf.DUMMYFUNCTION("""COMPUTED_VALUE"""),7.934076125018551E-4)</f>
        <v>0.0007934076125</v>
      </c>
      <c r="E291" s="3">
        <f>IFERROR(__xludf.DUMMYFUNCTION("""COMPUTED_VALUE"""),58.0)</f>
        <v>58</v>
      </c>
    </row>
    <row r="292">
      <c r="A292" s="9" t="str">
        <f>IFERROR(__xludf.DUMMYFUNCTION("""COMPUTED_VALUE"""),"Márcio Cardial")</f>
        <v>Márcio Cardial</v>
      </c>
      <c r="B292" s="1" t="str">
        <f>IFERROR(__xludf.DUMMYFUNCTION("""COMPUTED_VALUE"""),"marciocardial")</f>
        <v>marciocardial</v>
      </c>
      <c r="C292" s="1" t="str">
        <f>IFERROR(__xludf.DUMMYFUNCTION("""COMPUTED_VALUE"""),"Empreendedor, Comunicador, Publisher e apaixonado em construir relacionamentos e viabilizar negócios")</f>
        <v>Empreendedor, Comunicador, Publisher e apaixonado em construir relacionamentos e viabilizar negócios</v>
      </c>
      <c r="D292" s="1">
        <f>IFERROR(__xludf.DUMMYFUNCTION("""COMPUTED_VALUE"""),7.934076125018551E-4)</f>
        <v>0.0007934076125</v>
      </c>
      <c r="E292" s="3">
        <f>IFERROR(__xludf.DUMMYFUNCTION("""COMPUTED_VALUE"""),131.0)</f>
        <v>131</v>
      </c>
    </row>
    <row r="293">
      <c r="A293" s="9" t="str">
        <f>IFERROR(__xludf.DUMMYFUNCTION("""COMPUTED_VALUE"""),"Valdemar Hoque")</f>
        <v>Valdemar Hoque</v>
      </c>
      <c r="B293" s="1" t="str">
        <f>IFERROR(__xludf.DUMMYFUNCTION("""COMPUTED_VALUE"""),"valdemar_hoque")</f>
        <v>valdemar_hoque</v>
      </c>
      <c r="C293" s="1" t="str">
        <f>IFERROR(__xludf.DUMMYFUNCTION("""COMPUTED_VALUE"""),"Entrepreneur passionate about innovation, coffee and wine.")</f>
        <v>Entrepreneur passionate about innovation, coffee and wine.</v>
      </c>
      <c r="D293" s="1">
        <f>IFERROR(__xludf.DUMMYFUNCTION("""COMPUTED_VALUE"""),7.934076125018551E-4)</f>
        <v>0.0007934076125</v>
      </c>
      <c r="E293" s="3">
        <f>IFERROR(__xludf.DUMMYFUNCTION("""COMPUTED_VALUE"""),308.0)</f>
        <v>308</v>
      </c>
    </row>
    <row r="294">
      <c r="A294" s="9" t="str">
        <f>IFERROR(__xludf.DUMMYFUNCTION("""COMPUTED_VALUE"""),"Carlos Domini")</f>
        <v>Carlos Domini</v>
      </c>
      <c r="B294" s="1" t="str">
        <f>IFERROR(__xludf.DUMMYFUNCTION("""COMPUTED_VALUE"""),"carlos_domini")</f>
        <v>carlos_domini</v>
      </c>
      <c r="C294" s="1" t="str">
        <f>IFERROR(__xludf.DUMMYFUNCTION("""COMPUTED_VALUE"""),"Médico - Planejador Financeiro")</f>
        <v>Médico - Planejador Financeiro</v>
      </c>
      <c r="D294" s="1">
        <f>IFERROR(__xludf.DUMMYFUNCTION("""COMPUTED_VALUE"""),7.934076125018551E-4)</f>
        <v>0.0007934076125</v>
      </c>
      <c r="E294" s="3">
        <f>IFERROR(__xludf.DUMMYFUNCTION("""COMPUTED_VALUE"""),614.0)</f>
        <v>614</v>
      </c>
    </row>
    <row r="295">
      <c r="A295" s="9" t="str">
        <f>IFERROR(__xludf.DUMMYFUNCTION("""COMPUTED_VALUE"""),"Rankia Brasil")</f>
        <v>Rankia Brasil</v>
      </c>
      <c r="B295" s="1" t="str">
        <f>IFERROR(__xludf.DUMMYFUNCTION("""COMPUTED_VALUE"""),"rankiabrasil")</f>
        <v>rankiabrasil</v>
      </c>
      <c r="C295" s="1" t="str">
        <f>IFERROR(__xludf.DUMMYFUNCTION("""COMPUTED_VALUE"""),"Comunidade financeira sobre bancos, bolsa de valores, afores, pensões, seguros, imobiliária, economia e tributação no Brasil")</f>
        <v>Comunidade financeira sobre bancos, bolsa de valores, afores, pensões, seguros, imobiliária, economia e tributação no Brasil</v>
      </c>
      <c r="D295" s="1">
        <f>IFERROR(__xludf.DUMMYFUNCTION("""COMPUTED_VALUE"""),7.934076125018551E-4)</f>
        <v>0.0007934076125</v>
      </c>
      <c r="E295" s="3">
        <f>IFERROR(__xludf.DUMMYFUNCTION("""COMPUTED_VALUE"""),21.0)</f>
        <v>21</v>
      </c>
    </row>
    <row r="296">
      <c r="A296" s="9" t="str">
        <f>IFERROR(__xludf.DUMMYFUNCTION("""COMPUTED_VALUE"""),"Missão Renda")</f>
        <v>Missão Renda</v>
      </c>
      <c r="B296" s="1" t="str">
        <f>IFERROR(__xludf.DUMMYFUNCTION("""COMPUTED_VALUE"""),"missao_renda")</f>
        <v>missao_renda</v>
      </c>
      <c r="C296" s="1" t="str">
        <f>IFERROR(__xludf.DUMMYFUNCTION("""COMPUTED_VALUE"""),"Te ajudo a gerar renda extra sem precisar trabalhar mais horas ou mudar de emprego. A chave pra isso: Investimento, Ações, FIIs, Dividendos")</f>
        <v>Te ajudo a gerar renda extra sem precisar trabalhar mais horas ou mudar de emprego. A chave pra isso: Investimento, Ações, FIIs, Dividendos</v>
      </c>
      <c r="D296" s="1">
        <f>IFERROR(__xludf.DUMMYFUNCTION("""COMPUTED_VALUE"""),7.934076125018551E-4)</f>
        <v>0.0007934076125</v>
      </c>
      <c r="E296" s="3">
        <f>IFERROR(__xludf.DUMMYFUNCTION("""COMPUTED_VALUE"""),2.0)</f>
        <v>2</v>
      </c>
    </row>
    <row r="297">
      <c r="A297" s="9" t="str">
        <f>IFERROR(__xludf.DUMMYFUNCTION("""COMPUTED_VALUE"""),"Marccos")</f>
        <v>Marccos</v>
      </c>
      <c r="B297" s="1" t="str">
        <f>IFERROR(__xludf.DUMMYFUNCTION("""COMPUTED_VALUE"""),"marccos_pessoa")</f>
        <v>marccos_pessoa</v>
      </c>
      <c r="C297" s="1"/>
      <c r="D297" s="1">
        <f>IFERROR(__xludf.DUMMYFUNCTION("""COMPUTED_VALUE"""),7.934076125018551E-4)</f>
        <v>0.0007934076125</v>
      </c>
      <c r="E297" s="3">
        <f>IFERROR(__xludf.DUMMYFUNCTION("""COMPUTED_VALUE"""),21.0)</f>
        <v>21</v>
      </c>
    </row>
    <row r="298">
      <c r="A298" s="9" t="str">
        <f>IFERROR(__xludf.DUMMYFUNCTION("""COMPUTED_VALUE"""),"anônimo")</f>
        <v>anônimo</v>
      </c>
      <c r="B298" s="1" t="str">
        <f>IFERROR(__xludf.DUMMYFUNCTION("""COMPUTED_VALUE"""),"anonimus7700")</f>
        <v>anonimus7700</v>
      </c>
      <c r="C298" s="1"/>
      <c r="D298" s="1">
        <f>IFERROR(__xludf.DUMMYFUNCTION("""COMPUTED_VALUE"""),7.934076125018551E-4)</f>
        <v>0.0007934076125</v>
      </c>
      <c r="E298" s="3">
        <f>IFERROR(__xludf.DUMMYFUNCTION("""COMPUTED_VALUE"""),5.0)</f>
        <v>5</v>
      </c>
    </row>
    <row r="299">
      <c r="A299" s="9" t="str">
        <f>IFERROR(__xludf.DUMMYFUNCTION("""COMPUTED_VALUE"""),"Carlos Radunz")</f>
        <v>Carlos Radunz</v>
      </c>
      <c r="B299" s="1" t="str">
        <f>IFERROR(__xludf.DUMMYFUNCTION("""COMPUTED_VALUE"""),"radunz_carlos")</f>
        <v>radunz_carlos</v>
      </c>
      <c r="C299" s="1"/>
      <c r="D299" s="1">
        <f>IFERROR(__xludf.DUMMYFUNCTION("""COMPUTED_VALUE"""),7.934076125018551E-4)</f>
        <v>0.0007934076125</v>
      </c>
      <c r="E299" s="3">
        <f>IFERROR(__xludf.DUMMYFUNCTION("""COMPUTED_VALUE"""),23.0)</f>
        <v>23</v>
      </c>
    </row>
    <row r="300">
      <c r="A300" s="9" t="str">
        <f>IFERROR(__xludf.DUMMYFUNCTION("""COMPUTED_VALUE"""),"NIIW")</f>
        <v>NIIW</v>
      </c>
      <c r="B300" s="1" t="str">
        <f>IFERROR(__xludf.DUMMYFUNCTION("""COMPUTED_VALUE"""),"niiwopendata")</f>
        <v>niiwopendata</v>
      </c>
      <c r="C300" s="1" t="str">
        <f>IFERROR(__xludf.DUMMYFUNCTION("""COMPUTED_VALUE"""),"O Niiw é um App colaborativo de educação financeira, pesquisa de preços e listas de compras para seu dia a dia.")</f>
        <v>O Niiw é um App colaborativo de educação financeira, pesquisa de preços e listas de compras para seu dia a dia.</v>
      </c>
      <c r="D300" s="1">
        <f>IFERROR(__xludf.DUMMYFUNCTION("""COMPUTED_VALUE"""),7.934076125018551E-4)</f>
        <v>0.0007934076125</v>
      </c>
      <c r="E300" s="3">
        <f>IFERROR(__xludf.DUMMYFUNCTION("""COMPUTED_VALUE"""),15.0)</f>
        <v>15</v>
      </c>
    </row>
    <row r="301">
      <c r="A301" s="9" t="str">
        <f>IFERROR(__xludf.DUMMYFUNCTION("""COMPUTED_VALUE"""),"𝙼.𝙺.𝙼")</f>
        <v>𝙼.𝙺.𝙼</v>
      </c>
      <c r="B301" s="1" t="str">
        <f>IFERROR(__xludf.DUMMYFUNCTION("""COMPUTED_VALUE"""),"7kaylas")</f>
        <v>7kaylas</v>
      </c>
      <c r="C301" s="1" t="str">
        <f>IFERROR(__xludf.DUMMYFUNCTION("""COMPUTED_VALUE"""),"Outros perfis: @_kaylart📍Administração com foco em mídias 📨: work.kayla@outlook.com 📍Instagram: @ managementkm #marketingdigital")</f>
        <v>Outros perfis: @_kaylart📍Administração com foco em mídias 📨: work.kayla@outlook.com 📍Instagram: @ managementkm #marketingdigital</v>
      </c>
      <c r="D301" s="1">
        <f>IFERROR(__xludf.DUMMYFUNCTION("""COMPUTED_VALUE"""),7.934076125018551E-4)</f>
        <v>0.0007934076125</v>
      </c>
      <c r="E301" s="3">
        <f>IFERROR(__xludf.DUMMYFUNCTION("""COMPUTED_VALUE"""),1922.0)</f>
        <v>1922</v>
      </c>
    </row>
    <row r="302">
      <c r="A302" s="9" t="str">
        <f>IFERROR(__xludf.DUMMYFUNCTION("""COMPUTED_VALUE"""),"Carlos Gomes")</f>
        <v>Carlos Gomes</v>
      </c>
      <c r="B302" s="1" t="str">
        <f>IFERROR(__xludf.DUMMYFUNCTION("""COMPUTED_VALUE"""),"cgta_carlos")</f>
        <v>cgta_carlos</v>
      </c>
      <c r="C302" s="1"/>
      <c r="D302" s="1">
        <f>IFERROR(__xludf.DUMMYFUNCTION("""COMPUTED_VALUE"""),7.934076125018551E-4)</f>
        <v>0.0007934076125</v>
      </c>
      <c r="E302" s="3">
        <f>IFERROR(__xludf.DUMMYFUNCTION("""COMPUTED_VALUE"""),60.0)</f>
        <v>60</v>
      </c>
    </row>
    <row r="303">
      <c r="A303" s="9" t="str">
        <f>IFERROR(__xludf.DUMMYFUNCTION("""COMPUTED_VALUE"""),"CDL Jovem")</f>
        <v>CDL Jovem</v>
      </c>
      <c r="B303" s="1" t="str">
        <f>IFERROR(__xludf.DUMMYFUNCTION("""COMPUTED_VALUE"""),"portalcdljovem")</f>
        <v>portalcdljovem</v>
      </c>
      <c r="C303" s="1" t="str">
        <f>IFERROR(__xludf.DUMMYFUNCTION("""COMPUTED_VALUE"""),"Perfil oficial da CDL Jovem - um espaço para desenvolver o espírito inovador e empreendedor na sociedade.")</f>
        <v>Perfil oficial da CDL Jovem - um espaço para desenvolver o espírito inovador e empreendedor na sociedade.</v>
      </c>
      <c r="D303" s="1">
        <f>IFERROR(__xludf.DUMMYFUNCTION("""COMPUTED_VALUE"""),7.934076125018551E-4)</f>
        <v>0.0007934076125</v>
      </c>
      <c r="E303" s="3">
        <f>IFERROR(__xludf.DUMMYFUNCTION("""COMPUTED_VALUE"""),26.0)</f>
        <v>26</v>
      </c>
    </row>
    <row r="304">
      <c r="A304" s="9" t="str">
        <f>IFERROR(__xludf.DUMMYFUNCTION("""COMPUTED_VALUE"""),"MAGRÃO")</f>
        <v>MAGRÃO</v>
      </c>
      <c r="B304" s="1" t="str">
        <f>IFERROR(__xludf.DUMMYFUNCTION("""COMPUTED_VALUE"""),"kveira4ever")</f>
        <v>kveira4ever</v>
      </c>
      <c r="C304" s="1" t="str">
        <f>IFERROR(__xludf.DUMMYFUNCTION("""COMPUTED_VALUE"""),"Carioca com muito orgulho.")</f>
        <v>Carioca com muito orgulho.</v>
      </c>
      <c r="D304" s="1">
        <f>IFERROR(__xludf.DUMMYFUNCTION("""COMPUTED_VALUE"""),7.934076125018551E-4)</f>
        <v>0.0007934076125</v>
      </c>
      <c r="E304" s="3">
        <f>IFERROR(__xludf.DUMMYFUNCTION("""COMPUTED_VALUE"""),45.0)</f>
        <v>45</v>
      </c>
    </row>
    <row r="305">
      <c r="A305" s="9" t="str">
        <f>IFERROR(__xludf.DUMMYFUNCTION("""COMPUTED_VALUE"""),"Rosielle Pegado")</f>
        <v>Rosielle Pegado</v>
      </c>
      <c r="B305" s="1" t="str">
        <f>IFERROR(__xludf.DUMMYFUNCTION("""COMPUTED_VALUE"""),"rosiellepegado")</f>
        <v>rosiellepegado</v>
      </c>
      <c r="C305" s="1" t="str">
        <f>IFERROR(__xludf.DUMMYFUNCTION("""COMPUTED_VALUE"""),"Planejadora Financeira e Coach em Comportamento Financeiro")</f>
        <v>Planejadora Financeira e Coach em Comportamento Financeiro</v>
      </c>
      <c r="D305" s="1">
        <f>IFERROR(__xludf.DUMMYFUNCTION("""COMPUTED_VALUE"""),7.934076125018551E-4)</f>
        <v>0.0007934076125</v>
      </c>
      <c r="E305" s="3">
        <f>IFERROR(__xludf.DUMMYFUNCTION("""COMPUTED_VALUE"""),40.0)</f>
        <v>40</v>
      </c>
    </row>
    <row r="306">
      <c r="A306" s="9" t="str">
        <f>IFERROR(__xludf.DUMMYFUNCTION("""COMPUTED_VALUE"""),"Alê Nascimento")</f>
        <v>Alê Nascimento</v>
      </c>
      <c r="B306" s="1" t="str">
        <f>IFERROR(__xludf.DUMMYFUNCTION("""COMPUTED_VALUE"""),"nomenascimento")</f>
        <v>nomenascimento</v>
      </c>
      <c r="C306" s="1" t="str">
        <f>IFERROR(__xludf.DUMMYFUNCTION("""COMPUTED_VALUE"""),"Sutil, porém muito marcante...Deus.")</f>
        <v>Sutil, porém muito marcante...Deus.</v>
      </c>
      <c r="D306" s="1">
        <f>IFERROR(__xludf.DUMMYFUNCTION("""COMPUTED_VALUE"""),7.934076125018551E-4)</f>
        <v>0.0007934076125</v>
      </c>
      <c r="E306" s="3">
        <f>IFERROR(__xludf.DUMMYFUNCTION("""COMPUTED_VALUE"""),174.0)</f>
        <v>174</v>
      </c>
    </row>
    <row r="307">
      <c r="A307" s="9" t="str">
        <f>IFERROR(__xludf.DUMMYFUNCTION("""COMPUTED_VALUE"""),"Anderson")</f>
        <v>Anderson</v>
      </c>
      <c r="B307" s="1" t="str">
        <f>IFERROR(__xludf.DUMMYFUNCTION("""COMPUTED_VALUE"""),"profandersonmat")</f>
        <v>profandersonmat</v>
      </c>
      <c r="C307" s="1" t="str">
        <f>IFERROR(__xludf.DUMMYFUNCTION("""COMPUTED_VALUE"""),"Matemático")</f>
        <v>Matemático</v>
      </c>
      <c r="D307" s="1">
        <f>IFERROR(__xludf.DUMMYFUNCTION("""COMPUTED_VALUE"""),7.934076125018551E-4)</f>
        <v>0.0007934076125</v>
      </c>
      <c r="E307" s="3">
        <f>IFERROR(__xludf.DUMMYFUNCTION("""COMPUTED_VALUE"""),47.0)</f>
        <v>47</v>
      </c>
    </row>
    <row r="308">
      <c r="A308" s="9" t="str">
        <f>IFERROR(__xludf.DUMMYFUNCTION("""COMPUTED_VALUE"""),"Denise C de Toledo")</f>
        <v>Denise C de Toledo</v>
      </c>
      <c r="B308" s="1" t="str">
        <f>IFERROR(__xludf.DUMMYFUNCTION("""COMPUTED_VALUE"""),"denisectoledo8")</f>
        <v>denisectoledo8</v>
      </c>
      <c r="C308" s="1" t="str">
        <f>IFERROR(__xludf.DUMMYFUNCTION("""COMPUTED_VALUE"""),"Jornalista, palestrante, comentarista de Economia TV Gazeta, ex-Jovem Pan @denisecamposdetoledo no Instagram")</f>
        <v>Jornalista, palestrante, comentarista de Economia TV Gazeta, ex-Jovem Pan @denisecamposdetoledo no Instagram</v>
      </c>
      <c r="D308" s="1">
        <f>IFERROR(__xludf.DUMMYFUNCTION("""COMPUTED_VALUE"""),7.934076125018551E-4)</f>
        <v>0.0007934076125</v>
      </c>
      <c r="E308" s="3">
        <f>IFERROR(__xludf.DUMMYFUNCTION("""COMPUTED_VALUE"""),35410.0)</f>
        <v>35410</v>
      </c>
    </row>
    <row r="309">
      <c r="A309" s="9" t="str">
        <f>IFERROR(__xludf.DUMMYFUNCTION("""COMPUTED_VALUE"""),"Maria de Jesus Silva Amorim")</f>
        <v>Maria de Jesus Silva Amorim</v>
      </c>
      <c r="B309" s="1" t="str">
        <f>IFERROR(__xludf.DUMMYFUNCTION("""COMPUTED_VALUE"""),"mariade80544716")</f>
        <v>mariade80544716</v>
      </c>
      <c r="C309" s="1" t="str">
        <f>IFERROR(__xludf.DUMMYFUNCTION("""COMPUTED_VALUE"""),"Prof Licenciada em Ciências  Naturais com habilitação  em Matemática.")</f>
        <v>Prof Licenciada em Ciências  Naturais com habilitação  em Matemática.</v>
      </c>
      <c r="D309" s="1">
        <f>IFERROR(__xludf.DUMMYFUNCTION("""COMPUTED_VALUE"""),7.934076125018551E-4)</f>
        <v>0.0007934076125</v>
      </c>
      <c r="E309" s="3">
        <f>IFERROR(__xludf.DUMMYFUNCTION("""COMPUTED_VALUE"""),3.0)</f>
        <v>3</v>
      </c>
    </row>
    <row r="310">
      <c r="A310" s="9" t="str">
        <f>IFERROR(__xludf.DUMMYFUNCTION("""COMPUTED_VALUE"""),"CNDL")</f>
        <v>CNDL</v>
      </c>
      <c r="B310" s="1" t="str">
        <f>IFERROR(__xludf.DUMMYFUNCTION("""COMPUTED_VALUE"""),"sistemacndl")</f>
        <v>sistemacndl</v>
      </c>
      <c r="C310" s="1" t="str">
        <f>IFERROR(__xludf.DUMMYFUNCTION("""COMPUTED_VALUE"""),"Confederação Nacional de Dirigentes Lojistas.
Há 62 anos, nossa missão é representar e fortalecer o varejo brasileiro. #JuntosSomosMaisFortes 👊🤝")</f>
        <v>Confederação Nacional de Dirigentes Lojistas.
Há 62 anos, nossa missão é representar e fortalecer o varejo brasileiro. #JuntosSomosMaisFortes 👊🤝</v>
      </c>
      <c r="D310" s="1">
        <f>IFERROR(__xludf.DUMMYFUNCTION("""COMPUTED_VALUE"""),7.934076125018551E-4)</f>
        <v>0.0007934076125</v>
      </c>
      <c r="E310" s="3">
        <f>IFERROR(__xludf.DUMMYFUNCTION("""COMPUTED_VALUE"""),8377.0)</f>
        <v>8377</v>
      </c>
    </row>
    <row r="311">
      <c r="A311" s="9" t="str">
        <f>IFERROR(__xludf.DUMMYFUNCTION("""COMPUTED_VALUE"""),"🦉 VOLUNTÁRIO REALISTA ESPERANÇOSO GLORIOSO★彡")</f>
        <v>🦉 VOLUNTÁRIO REALISTA ESPERANÇOSO GLORIOSO★彡</v>
      </c>
      <c r="B311" s="1" t="str">
        <f>IFERROR(__xludf.DUMMYFUNCTION("""COMPUTED_VALUE"""),"pedromestr")</f>
        <v>pedromestr</v>
      </c>
      <c r="C311" s="1" t="str">
        <f>IFERROR(__xludf.DUMMYFUNCTION("""COMPUTED_VALUE"""),"Contador, Professor e voluntário da educação. Torcedor do #Botafogo. Amante das atividades físicas. Lê e escreve. Fusqueiro. Às vezes irônico. Equilíbrio.🦇🐶🐱")</f>
        <v>Contador, Professor e voluntário da educação. Torcedor do #Botafogo. Amante das atividades físicas. Lê e escreve. Fusqueiro. Às vezes irônico. Equilíbrio.🦇🐶🐱</v>
      </c>
      <c r="D311" s="1">
        <f>IFERROR(__xludf.DUMMYFUNCTION("""COMPUTED_VALUE"""),7.934076125018551E-4)</f>
        <v>0.0007934076125</v>
      </c>
      <c r="E311" s="3">
        <f>IFERROR(__xludf.DUMMYFUNCTION("""COMPUTED_VALUE"""),201.0)</f>
        <v>201</v>
      </c>
    </row>
    <row r="312">
      <c r="A312" s="9" t="str">
        <f>IFERROR(__xludf.DUMMYFUNCTION("""COMPUTED_VALUE"""),"Forbes Brasil")</f>
        <v>Forbes Brasil</v>
      </c>
      <c r="B312" s="1" t="str">
        <f>IFERROR(__xludf.DUMMYFUNCTION("""COMPUTED_VALUE"""),"forbesbr")</f>
        <v>forbesbr</v>
      </c>
      <c r="C312" s="1" t="str">
        <f>IFERROR(__xludf.DUMMYFUNCTION("""COMPUTED_VALUE"""),"Forbes é o maior título de negócios do mundo, dedicado à realizações e realizadores.")</f>
        <v>Forbes é o maior título de negócios do mundo, dedicado à realizações e realizadores.</v>
      </c>
      <c r="D312" s="1">
        <f>IFERROR(__xludf.DUMMYFUNCTION("""COMPUTED_VALUE"""),7.934076125018551E-4)</f>
        <v>0.0007934076125</v>
      </c>
      <c r="E312" s="3">
        <f>IFERROR(__xludf.DUMMYFUNCTION("""COMPUTED_VALUE"""),83608.0)</f>
        <v>83608</v>
      </c>
    </row>
    <row r="313">
      <c r="A313" s="9" t="str">
        <f>IFERROR(__xludf.DUMMYFUNCTION("""COMPUTED_VALUE"""),"Luiza Leão 🦁")</f>
        <v>Luiza Leão 🦁</v>
      </c>
      <c r="B313" s="1" t="str">
        <f>IFERROR(__xludf.DUMMYFUNCTION("""COMPUTED_VALUE"""),"luizamrl")</f>
        <v>luizamrl</v>
      </c>
      <c r="C313" s="1" t="str">
        <f>IFERROR(__xludf.DUMMYFUNCTION("""COMPUTED_VALUE"""),"Repórter de vídeos no @noticiasdatv, mas aqui as opiniões são minhas | Recifense, radicada em Salvador e sobrevivendo em São Paulo. | luiza@noticiasdatv.com")</f>
        <v>Repórter de vídeos no @noticiasdatv, mas aqui as opiniões são minhas | Recifense, radicada em Salvador e sobrevivendo em São Paulo. | luiza@noticiasdatv.com</v>
      </c>
      <c r="D313" s="1">
        <f>IFERROR(__xludf.DUMMYFUNCTION("""COMPUTED_VALUE"""),7.934076125018551E-4)</f>
        <v>0.0007934076125</v>
      </c>
      <c r="E313" s="3">
        <f>IFERROR(__xludf.DUMMYFUNCTION("""COMPUTED_VALUE"""),757.0)</f>
        <v>757</v>
      </c>
    </row>
    <row r="314">
      <c r="A314" s="9" t="str">
        <f>IFERROR(__xludf.DUMMYFUNCTION("""COMPUTED_VALUE"""),"Caminho do Investimento")</f>
        <v>Caminho do Investimento</v>
      </c>
      <c r="B314" s="1" t="str">
        <f>IFERROR(__xludf.DUMMYFUNCTION("""COMPUTED_VALUE"""),"caminhodoinves1")</f>
        <v>caminhodoinves1</v>
      </c>
      <c r="C314" s="1" t="str">
        <f>IFERROR(__xludf.DUMMYFUNCTION("""COMPUTED_VALUE"""),"Aficionado por finanças pessoais, poupança e investimento. Tentar criar valor. Não acredita em esquemas de enriquecimento rápido!")</f>
        <v>Aficionado por finanças pessoais, poupança e investimento. Tentar criar valor. Não acredita em esquemas de enriquecimento rápido!</v>
      </c>
      <c r="D314" s="1">
        <f>IFERROR(__xludf.DUMMYFUNCTION("""COMPUTED_VALUE"""),7.934076125018551E-4)</f>
        <v>0.0007934076125</v>
      </c>
      <c r="E314" s="3">
        <f>IFERROR(__xludf.DUMMYFUNCTION("""COMPUTED_VALUE"""),40.0)</f>
        <v>40</v>
      </c>
    </row>
    <row r="315">
      <c r="A315" s="9" t="str">
        <f>IFERROR(__xludf.DUMMYFUNCTION("""COMPUTED_VALUE"""),"S. Al-Ma'ida")</f>
        <v>S. Al-Ma'ida</v>
      </c>
      <c r="B315" s="1" t="str">
        <f>IFERROR(__xludf.DUMMYFUNCTION("""COMPUTED_VALUE"""),"globo_cancer_br")</f>
        <v>globo_cancer_br</v>
      </c>
      <c r="C315" s="1" t="str">
        <f>IFERROR(__xludf.DUMMYFUNCTION("""COMPUTED_VALUE"""),"Para o 1% não há prazer em ser rico - é preciso haver escravos...")</f>
        <v>Para o 1% não há prazer em ser rico - é preciso haver escravos...</v>
      </c>
      <c r="D315" s="1">
        <f>IFERROR(__xludf.DUMMYFUNCTION("""COMPUTED_VALUE"""),7.934076125018551E-4)</f>
        <v>0.0007934076125</v>
      </c>
      <c r="E315" s="3">
        <f>IFERROR(__xludf.DUMMYFUNCTION("""COMPUTED_VALUE"""),649.0)</f>
        <v>649</v>
      </c>
    </row>
    <row r="316">
      <c r="A316" s="9" t="str">
        <f>IFERROR(__xludf.DUMMYFUNCTION("""COMPUTED_VALUE"""),"encryption is life")</f>
        <v>encryption is life</v>
      </c>
      <c r="B316" s="1" t="str">
        <f>IFERROR(__xludf.DUMMYFUNCTION("""COMPUTED_VALUE"""),"criptoislife")</f>
        <v>criptoislife</v>
      </c>
      <c r="C316" s="1" t="str">
        <f>IFERROR(__xludf.DUMMYFUNCTION("""COMPUTED_VALUE"""),"Monetary revolution enthusiast")</f>
        <v>Monetary revolution enthusiast</v>
      </c>
      <c r="D316" s="1">
        <f>IFERROR(__xludf.DUMMYFUNCTION("""COMPUTED_VALUE"""),7.934076125018551E-4)</f>
        <v>0.0007934076125</v>
      </c>
      <c r="E316" s="3">
        <f>IFERROR(__xludf.DUMMYFUNCTION("""COMPUTED_VALUE"""),57.0)</f>
        <v>57</v>
      </c>
    </row>
    <row r="317">
      <c r="A317" s="9" t="str">
        <f>IFERROR(__xludf.DUMMYFUNCTION("""COMPUTED_VALUE"""),"Vida Simples")</f>
        <v>Vida Simples</v>
      </c>
      <c r="B317" s="1" t="str">
        <f>IFERROR(__xludf.DUMMYFUNCTION("""COMPUTED_VALUE"""),"vidasimples")</f>
        <v>vidasimples</v>
      </c>
      <c r="C317" s="1" t="str">
        <f>IFERROR(__xludf.DUMMYFUNCTION("""COMPUTED_VALUE"""),"Vamos juntos ser, conviver e transformar?")</f>
        <v>Vamos juntos ser, conviver e transformar?</v>
      </c>
      <c r="D317" s="1">
        <f>IFERROR(__xludf.DUMMYFUNCTION("""COMPUTED_VALUE"""),7.934076125018551E-4)</f>
        <v>0.0007934076125</v>
      </c>
      <c r="E317" s="3">
        <f>IFERROR(__xludf.DUMMYFUNCTION("""COMPUTED_VALUE"""),28639.0)</f>
        <v>28639</v>
      </c>
    </row>
    <row r="318">
      <c r="A318" s="9" t="str">
        <f>IFERROR(__xludf.DUMMYFUNCTION("""COMPUTED_VALUE"""),"Lua Medeiros")</f>
        <v>Lua Medeiros</v>
      </c>
      <c r="B318" s="1" t="str">
        <f>IFERROR(__xludf.DUMMYFUNCTION("""COMPUTED_VALUE"""),"luamedeiross")</f>
        <v>luamedeiross</v>
      </c>
      <c r="C318" s="1" t="str">
        <f>IFERROR(__xludf.DUMMYFUNCTION("""COMPUTED_VALUE"""),"Farmacêutica 💊🔬🧪")</f>
        <v>Farmacêutica 💊🔬🧪</v>
      </c>
      <c r="D318" s="1">
        <f>IFERROR(__xludf.DUMMYFUNCTION("""COMPUTED_VALUE"""),7.934076125018551E-4)</f>
        <v>0.0007934076125</v>
      </c>
      <c r="E318" s="3">
        <f>IFERROR(__xludf.DUMMYFUNCTION("""COMPUTED_VALUE"""),17.0)</f>
        <v>17</v>
      </c>
    </row>
    <row r="319">
      <c r="A319" s="9" t="str">
        <f>IFERROR(__xludf.DUMMYFUNCTION("""COMPUTED_VALUE"""),"DJ Andrio Produções Celebration")</f>
        <v>DJ Andrio Produções Celebration</v>
      </c>
      <c r="B319" s="1" t="str">
        <f>IFERROR(__xludf.DUMMYFUNCTION("""COMPUTED_VALUE"""),"djandriooficial")</f>
        <v>djandriooficial</v>
      </c>
      <c r="C319" s="1" t="str">
        <f>IFERROR(__xludf.DUMMYFUNCTION("""COMPUTED_VALUE"""),"DJ Andrio   Produções e Eventos
 djandriopruducoes@gmail.com")</f>
        <v>DJ Andrio   Produções e Eventos
 djandriopruducoes@gmail.com</v>
      </c>
      <c r="D319" s="1">
        <f>IFERROR(__xludf.DUMMYFUNCTION("""COMPUTED_VALUE"""),7.934076125018551E-4)</f>
        <v>0.0007934076125</v>
      </c>
      <c r="E319" s="3">
        <f>IFERROR(__xludf.DUMMYFUNCTION("""COMPUTED_VALUE"""),20.0)</f>
        <v>20</v>
      </c>
    </row>
    <row r="320">
      <c r="A320" s="9" t="str">
        <f>IFERROR(__xludf.DUMMYFUNCTION("""COMPUTED_VALUE"""),"Leandro Soares")</f>
        <v>Leandro Soares</v>
      </c>
      <c r="B320" s="1" t="str">
        <f>IFERROR(__xludf.DUMMYFUNCTION("""COMPUTED_VALUE"""),"lenick2008")</f>
        <v>lenick2008</v>
      </c>
      <c r="C320" s="1"/>
      <c r="D320" s="1">
        <f>IFERROR(__xludf.DUMMYFUNCTION("""COMPUTED_VALUE"""),7.934076125018551E-4)</f>
        <v>0.0007934076125</v>
      </c>
      <c r="E320" s="3">
        <f>IFERROR(__xludf.DUMMYFUNCTION("""COMPUTED_VALUE"""),12.0)</f>
        <v>12</v>
      </c>
    </row>
    <row r="321">
      <c r="A321" s="9" t="str">
        <f>IFERROR(__xludf.DUMMYFUNCTION("""COMPUTED_VALUE"""),"O I :) 🇦🇲")</f>
        <v>O I :) 🇦🇲</v>
      </c>
      <c r="B321" s="1" t="str">
        <f>IFERROR(__xludf.DUMMYFUNCTION("""COMPUTED_VALUE"""),"ye__exe")</f>
        <v>ye__exe</v>
      </c>
      <c r="C321" s="1" t="str">
        <f>IFERROR(__xludf.DUMMYFUNCTION("""COMPUTED_VALUE"""),"Oi… só isso mesmo o resto você descobre. 🇦🇲")</f>
        <v>Oi… só isso mesmo o resto você descobre. 🇦🇲</v>
      </c>
      <c r="D321" s="1">
        <f>IFERROR(__xludf.DUMMYFUNCTION("""COMPUTED_VALUE"""),7.934076125018551E-4)</f>
        <v>0.0007934076125</v>
      </c>
      <c r="E321" s="3">
        <f>IFERROR(__xludf.DUMMYFUNCTION("""COMPUTED_VALUE"""),88.0)</f>
        <v>88</v>
      </c>
    </row>
    <row r="322">
      <c r="A322" s="9" t="str">
        <f>IFERROR(__xludf.DUMMYFUNCTION("""COMPUTED_VALUE"""),"Nostranska 💸 Its your future look after it")</f>
        <v>Nostranska 💸 Its your future look after it</v>
      </c>
      <c r="B322" s="1" t="str">
        <f>IFERROR(__xludf.DUMMYFUNCTION("""COMPUTED_VALUE"""),"nostranska")</f>
        <v>nostranska</v>
      </c>
      <c r="C322" s="1" t="str">
        <f>IFERROR(__xludf.DUMMYFUNCTION("""COMPUTED_VALUE"""),"ностранска🐬🦀🐈‍⬛")</f>
        <v>ностранска🐬🦀🐈‍⬛</v>
      </c>
      <c r="D322" s="1">
        <f>IFERROR(__xludf.DUMMYFUNCTION("""COMPUTED_VALUE"""),7.934076125018551E-4)</f>
        <v>0.0007934076125</v>
      </c>
      <c r="E322" s="3">
        <f>IFERROR(__xludf.DUMMYFUNCTION("""COMPUTED_VALUE"""),239.0)</f>
        <v>239</v>
      </c>
    </row>
    <row r="323">
      <c r="A323" s="9" t="str">
        <f>IFERROR(__xludf.DUMMYFUNCTION("""COMPUTED_VALUE"""),"Robson")</f>
        <v>Robson</v>
      </c>
      <c r="B323" s="1" t="str">
        <f>IFERROR(__xludf.DUMMYFUNCTION("""COMPUTED_VALUE"""),"robson63416430")</f>
        <v>robson63416430</v>
      </c>
      <c r="C323" s="1" t="str">
        <f>IFERROR(__xludf.DUMMYFUNCTION("""COMPUTED_VALUE"""),"Dom R brigadeiros e doces")</f>
        <v>Dom R brigadeiros e doces</v>
      </c>
      <c r="D323" s="1">
        <f>IFERROR(__xludf.DUMMYFUNCTION("""COMPUTED_VALUE"""),7.934076125018551E-4)</f>
        <v>0.0007934076125</v>
      </c>
      <c r="E323" s="3">
        <f>IFERROR(__xludf.DUMMYFUNCTION("""COMPUTED_VALUE"""),6.0)</f>
        <v>6</v>
      </c>
    </row>
    <row r="324">
      <c r="A324" s="9" t="str">
        <f>IFERROR(__xludf.DUMMYFUNCTION("""COMPUTED_VALUE"""),"Felipe Novaes Fiori")</f>
        <v>Felipe Novaes Fiori</v>
      </c>
      <c r="B324" s="1" t="str">
        <f>IFERROR(__xludf.DUMMYFUNCTION("""COMPUTED_VALUE"""),"lipfiori")</f>
        <v>lipfiori</v>
      </c>
      <c r="C324" s="1" t="str">
        <f>IFERROR(__xludf.DUMMYFUNCTION("""COMPUTED_VALUE"""),"Fã de esporte")</f>
        <v>Fã de esporte</v>
      </c>
      <c r="D324" s="1">
        <f>IFERROR(__xludf.DUMMYFUNCTION("""COMPUTED_VALUE"""),7.934076125018551E-4)</f>
        <v>0.0007934076125</v>
      </c>
      <c r="E324" s="3">
        <f>IFERROR(__xludf.DUMMYFUNCTION("""COMPUTED_VALUE"""),13.0)</f>
        <v>13</v>
      </c>
    </row>
    <row r="325">
      <c r="A325" s="9" t="str">
        <f>IFERROR(__xludf.DUMMYFUNCTION("""COMPUTED_VALUE"""),"Jonas - O aposentado")</f>
        <v>Jonas - O aposentado</v>
      </c>
      <c r="B325" s="1" t="str">
        <f>IFERROR(__xludf.DUMMYFUNCTION("""COMPUTED_VALUE"""),"midimashup")</f>
        <v>midimashup</v>
      </c>
      <c r="C325" s="1" t="str">
        <f>IFERROR(__xludf.DUMMYFUNCTION("""COMPUTED_VALUE"""),"Levantou, a gente corta.")</f>
        <v>Levantou, a gente corta.</v>
      </c>
      <c r="D325" s="1">
        <f>IFERROR(__xludf.DUMMYFUNCTION("""COMPUTED_VALUE"""),7.934076125018551E-4)</f>
        <v>0.0007934076125</v>
      </c>
      <c r="E325" s="3">
        <f>IFERROR(__xludf.DUMMYFUNCTION("""COMPUTED_VALUE"""),173.0)</f>
        <v>173</v>
      </c>
    </row>
    <row r="326">
      <c r="A326" s="9" t="str">
        <f>IFERROR(__xludf.DUMMYFUNCTION("""COMPUTED_VALUE"""),"CIDADANIA 23 DE POA")</f>
        <v>CIDADANIA 23 DE POA</v>
      </c>
      <c r="B326" s="1" t="str">
        <f>IFERROR(__xludf.DUMMYFUNCTION("""COMPUTED_VALUE"""),"cidadaniapoa")</f>
        <v>cidadaniapoa</v>
      </c>
      <c r="C326" s="1" t="str">
        <f>IFERROR(__xludf.DUMMYFUNCTION("""COMPUTED_VALUE"""),"Cidadania 23 de Porto Alegre")</f>
        <v>Cidadania 23 de Porto Alegre</v>
      </c>
      <c r="D326" s="1">
        <f>IFERROR(__xludf.DUMMYFUNCTION("""COMPUTED_VALUE"""),7.934076125018551E-4)</f>
        <v>0.0007934076125</v>
      </c>
      <c r="E326" s="3">
        <f>IFERROR(__xludf.DUMMYFUNCTION("""COMPUTED_VALUE"""),579.0)</f>
        <v>579</v>
      </c>
    </row>
    <row r="327">
      <c r="A327" s="9" t="str">
        <f>IFERROR(__xludf.DUMMYFUNCTION("""COMPUTED_VALUE"""),"Newton Paquissi-Investidor.")</f>
        <v>Newton Paquissi-Investidor.</v>
      </c>
      <c r="B327" s="1" t="str">
        <f>IFERROR(__xludf.DUMMYFUNCTION("""COMPUTED_VALUE"""),"trogloditaao")</f>
        <v>trogloditaao</v>
      </c>
      <c r="C327" s="1" t="str">
        <f>IFERROR(__xludf.DUMMYFUNCTION("""COMPUTED_VALUE"""),"Investimentos &amp; Consultória Financeira. 
Whatsapp Business : 
954 211 302 - 997 41 77 01
Ig:@newt.np")</f>
        <v>Investimentos &amp; Consultória Financeira. 
Whatsapp Business : 
954 211 302 - 997 41 77 01
Ig:@newt.np</v>
      </c>
      <c r="D327" s="1">
        <f>IFERROR(__xludf.DUMMYFUNCTION("""COMPUTED_VALUE"""),7.934076125018551E-4)</f>
        <v>0.0007934076125</v>
      </c>
      <c r="E327" s="3">
        <f>IFERROR(__xludf.DUMMYFUNCTION("""COMPUTED_VALUE"""),30.0)</f>
        <v>30</v>
      </c>
    </row>
    <row r="328">
      <c r="A328" s="9" t="str">
        <f>IFERROR(__xludf.DUMMYFUNCTION("""COMPUTED_VALUE"""),"ؘ")</f>
        <v>ؘ</v>
      </c>
      <c r="B328" s="1" t="str">
        <f>IFERROR(__xludf.DUMMYFUNCTION("""COMPUTED_VALUE"""),"arrascaweta")</f>
        <v>arrascaweta</v>
      </c>
      <c r="C328" s="1" t="str">
        <f>IFERROR(__xludf.DUMMYFUNCTION("""COMPUTED_VALUE"""),"eu rayane e levi jogando valorant")</f>
        <v>eu rayane e levi jogando valorant</v>
      </c>
      <c r="D328" s="1">
        <f>IFERROR(__xludf.DUMMYFUNCTION("""COMPUTED_VALUE"""),7.934076125018551E-4)</f>
        <v>0.0007934076125</v>
      </c>
      <c r="E328" s="3">
        <f>IFERROR(__xludf.DUMMYFUNCTION("""COMPUTED_VALUE"""),33.0)</f>
        <v>33</v>
      </c>
    </row>
    <row r="329">
      <c r="A329" s="9" t="str">
        <f>IFERROR(__xludf.DUMMYFUNCTION("""COMPUTED_VALUE"""),"Dívida Zero - Cae Galvão")</f>
        <v>Dívida Zero - Cae Galvão</v>
      </c>
      <c r="B329" s="1" t="str">
        <f>IFERROR(__xludf.DUMMYFUNCTION("""COMPUTED_VALUE"""),"dividazero")</f>
        <v>dividazero</v>
      </c>
      <c r="C329" s="1" t="str">
        <f>IFERROR(__xludf.DUMMYFUNCTION("""COMPUTED_VALUE"""),"Educador financeiro, idealizador do Canal Dívida Zero, escritor, Palestrante corporativo - promovendo bem-estar financeiro
Ajudo empreendedores nas Finanças")</f>
        <v>Educador financeiro, idealizador do Canal Dívida Zero, escritor, Palestrante corporativo - promovendo bem-estar financeiro
Ajudo empreendedores nas Finanças</v>
      </c>
      <c r="D329" s="1">
        <f>IFERROR(__xludf.DUMMYFUNCTION("""COMPUTED_VALUE"""),7.934076125018551E-4)</f>
        <v>0.0007934076125</v>
      </c>
      <c r="E329" s="3">
        <f>IFERROR(__xludf.DUMMYFUNCTION("""COMPUTED_VALUE"""),1395.0)</f>
        <v>1395</v>
      </c>
    </row>
    <row r="330">
      <c r="A330" s="9" t="str">
        <f>IFERROR(__xludf.DUMMYFUNCTION("""COMPUTED_VALUE"""),"Pro Atitude Educacional")</f>
        <v>Pro Atitude Educacional</v>
      </c>
      <c r="B330" s="1" t="str">
        <f>IFERROR(__xludf.DUMMYFUNCTION("""COMPUTED_VALUE"""),"proatitudeeduca")</f>
        <v>proatitudeeduca</v>
      </c>
      <c r="C330" s="1" t="str">
        <f>IFERROR(__xludf.DUMMYFUNCTION("""COMPUTED_VALUE"""),"A Pro Atitude Educacional explora o futuro da aprendizagem em todas as suas dimensões, abrangendo tendências culturais, tecnológicas e inovações na Educação.")</f>
        <v>A Pro Atitude Educacional explora o futuro da aprendizagem em todas as suas dimensões, abrangendo tendências culturais, tecnológicas e inovações na Educação.</v>
      </c>
      <c r="D330" s="1">
        <f>IFERROR(__xludf.DUMMYFUNCTION("""COMPUTED_VALUE"""),7.934076125018551E-4)</f>
        <v>0.0007934076125</v>
      </c>
      <c r="E330" s="3">
        <f>IFERROR(__xludf.DUMMYFUNCTION("""COMPUTED_VALUE"""),150.0)</f>
        <v>150</v>
      </c>
    </row>
    <row r="331">
      <c r="A331" s="9" t="str">
        <f>IFERROR(__xludf.DUMMYFUNCTION("""COMPUTED_VALUE"""),"pipocaeeconomia")</f>
        <v>pipocaeeconomia</v>
      </c>
      <c r="B331" s="1" t="str">
        <f>IFERROR(__xludf.DUMMYFUNCTION("""COMPUTED_VALUE"""),"beatrizdiascc")</f>
        <v>beatrizdiascc</v>
      </c>
      <c r="C331" s="1" t="str">
        <f>IFERROR(__xludf.DUMMYFUNCTION("""COMPUTED_VALUE"""),"#economista
#mãe 
#carioca
#mtasemuma")</f>
        <v>#economista
#mãe 
#carioca
#mtasemuma</v>
      </c>
      <c r="D331" s="1">
        <f>IFERROR(__xludf.DUMMYFUNCTION("""COMPUTED_VALUE"""),7.934076125018551E-4)</f>
        <v>0.0007934076125</v>
      </c>
      <c r="E331" s="3">
        <f>IFERROR(__xludf.DUMMYFUNCTION("""COMPUTED_VALUE"""),6.0)</f>
        <v>6</v>
      </c>
    </row>
    <row r="332">
      <c r="A332" s="9" t="str">
        <f>IFERROR(__xludf.DUMMYFUNCTION("""COMPUTED_VALUE"""),"Marcos Cleber 🇧🇷💢")</f>
        <v>Marcos Cleber 🇧🇷💢</v>
      </c>
      <c r="B332" s="1" t="str">
        <f>IFERROR(__xludf.DUMMYFUNCTION("""COMPUTED_VALUE"""),"marcoscleberc")</f>
        <v>marcoscleberc</v>
      </c>
      <c r="C332" s="1" t="str">
        <f>IFERROR(__xludf.DUMMYFUNCTION("""COMPUTED_VALUE"""),"#bitcoin
🇧🇷🇧🇷🇧🇷💢")</f>
        <v>#bitcoin
🇧🇷🇧🇷🇧🇷💢</v>
      </c>
      <c r="D332" s="1">
        <f>IFERROR(__xludf.DUMMYFUNCTION("""COMPUTED_VALUE"""),7.934076125018551E-4)</f>
        <v>0.0007934076125</v>
      </c>
      <c r="E332" s="3">
        <f>IFERROR(__xludf.DUMMYFUNCTION("""COMPUTED_VALUE"""),699.0)</f>
        <v>699</v>
      </c>
    </row>
    <row r="333">
      <c r="A333" s="9" t="str">
        <f>IFERROR(__xludf.DUMMYFUNCTION("""COMPUTED_VALUE"""),"Leonidas Silva Andrade Melo")</f>
        <v>Leonidas Silva Andrade Melo</v>
      </c>
      <c r="B333" s="1" t="str">
        <f>IFERROR(__xludf.DUMMYFUNCTION("""COMPUTED_VALUE"""),"pammalpari")</f>
        <v>pammalpari</v>
      </c>
      <c r="C333" s="1" t="str">
        <f>IFERROR(__xludf.DUMMYFUNCTION("""COMPUTED_VALUE"""),"Pamm Alpari - Alpari ofrece el servicio de cuentas PAMM (Percent Allocation Management Module), que es una forma de inversión en la que los inversores pueden")</f>
        <v>Pamm Alpari - Alpari ofrece el servicio de cuentas PAMM (Percent Allocation Management Module), que es una forma de inversión en la que los inversores pueden</v>
      </c>
      <c r="D333" s="1">
        <f>IFERROR(__xludf.DUMMYFUNCTION("""COMPUTED_VALUE"""),7.934076125018551E-4)</f>
        <v>0.0007934076125</v>
      </c>
      <c r="E333" s="3">
        <f>IFERROR(__xludf.DUMMYFUNCTION("""COMPUTED_VALUE"""),5.0)</f>
        <v>5</v>
      </c>
    </row>
    <row r="334">
      <c r="A334" s="9" t="str">
        <f>IFERROR(__xludf.DUMMYFUNCTION("""COMPUTED_VALUE"""),"Alex Ribeiro")</f>
        <v>Alex Ribeiro</v>
      </c>
      <c r="B334" s="1" t="str">
        <f>IFERROR(__xludf.DUMMYFUNCTION("""COMPUTED_VALUE"""),"arib85")</f>
        <v>arib85</v>
      </c>
      <c r="C334" s="1" t="str">
        <f>IFERROR(__xludf.DUMMYFUNCTION("""COMPUTED_VALUE"""),"Formado em Ciências Contábeis, Contador por essência, um apaixonado pelos assuntos Financeiros que norteiam e fazem parte de nossa sociedade e de nossas vidas.")</f>
        <v>Formado em Ciências Contábeis, Contador por essência, um apaixonado pelos assuntos Financeiros que norteiam e fazem parte de nossa sociedade e de nossas vidas.</v>
      </c>
      <c r="D334" s="1">
        <f>IFERROR(__xludf.DUMMYFUNCTION("""COMPUTED_VALUE"""),7.934076125018551E-4)</f>
        <v>0.0007934076125</v>
      </c>
      <c r="E334" s="3">
        <f>IFERROR(__xludf.DUMMYFUNCTION("""COMPUTED_VALUE"""),109.0)</f>
        <v>109</v>
      </c>
    </row>
    <row r="335">
      <c r="A335" s="24" t="str">
        <f>IFERROR(__xludf.DUMMYFUNCTION("""COMPUTED_VALUE"""),"CLAUDIA")</f>
        <v>CLAUDIA</v>
      </c>
      <c r="B335" s="1" t="str">
        <f>IFERROR(__xludf.DUMMYFUNCTION("""COMPUTED_VALUE"""),"claudiaonline")</f>
        <v>claudiaonline</v>
      </c>
      <c r="C335" s="1" t="str">
        <f>IFERROR(__xludf.DUMMYFUNCTION("""COMPUTED_VALUE"""),"Twitter oficial da Revista CLAUDIA. 
O sentido feminino. Assine: https://t.co/vYTs0lo0ki")</f>
        <v>Twitter oficial da Revista CLAUDIA. 
O sentido feminino. Assine: https://t.co/vYTs0lo0ki</v>
      </c>
      <c r="D335" s="1">
        <f>IFERROR(__xludf.DUMMYFUNCTION("""COMPUTED_VALUE"""),7.934076125018551E-4)</f>
        <v>0.0007934076125</v>
      </c>
      <c r="E335" s="3">
        <f>IFERROR(__xludf.DUMMYFUNCTION("""COMPUTED_VALUE"""),43782.0)</f>
        <v>43782</v>
      </c>
    </row>
    <row r="336">
      <c r="A336" s="9" t="str">
        <f>IFERROR(__xludf.DUMMYFUNCTION("""COMPUTED_VALUE"""),"lucas")</f>
        <v>lucas</v>
      </c>
      <c r="B336" s="1" t="str">
        <f>IFERROR(__xludf.DUMMYFUNCTION("""COMPUTED_VALUE"""),"lukkkkhadd")</f>
        <v>lukkkkhadd</v>
      </c>
      <c r="C336" s="1" t="str">
        <f>IFERROR(__xludf.DUMMYFUNCTION("""COMPUTED_VALUE"""),"@gremio 🇪🇪 design × ufrgs ⛩️ intp")</f>
        <v>@gremio 🇪🇪 design × ufrgs ⛩️ intp</v>
      </c>
      <c r="D336" s="1">
        <f>IFERROR(__xludf.DUMMYFUNCTION("""COMPUTED_VALUE"""),7.934076125018551E-4)</f>
        <v>0.0007934076125</v>
      </c>
      <c r="E336" s="3">
        <f>IFERROR(__xludf.DUMMYFUNCTION("""COMPUTED_VALUE"""),200.0)</f>
        <v>200</v>
      </c>
    </row>
    <row r="337">
      <c r="A337" s="9" t="str">
        <f>IFERROR(__xludf.DUMMYFUNCTION("""COMPUTED_VALUE"""),"Confebras")</f>
        <v>Confebras</v>
      </c>
      <c r="B337" s="1" t="str">
        <f>IFERROR(__xludf.DUMMYFUNCTION("""COMPUTED_VALUE"""),"confebras")</f>
        <v>confebras</v>
      </c>
      <c r="C337" s="1" t="str">
        <f>IFERROR(__xludf.DUMMYFUNCTION("""COMPUTED_VALUE"""),"Contribuímos com o desenvolvimento sustentável do cooperativismo de crédito brasileiro.")</f>
        <v>Contribuímos com o desenvolvimento sustentável do cooperativismo de crédito brasileiro.</v>
      </c>
      <c r="D337" s="1">
        <f>IFERROR(__xludf.DUMMYFUNCTION("""COMPUTED_VALUE"""),7.934076125018551E-4)</f>
        <v>0.0007934076125</v>
      </c>
      <c r="E337" s="3">
        <f>IFERROR(__xludf.DUMMYFUNCTION("""COMPUTED_VALUE"""),727.0)</f>
        <v>727</v>
      </c>
    </row>
    <row r="338">
      <c r="A338" s="9" t="str">
        <f>IFERROR(__xludf.DUMMYFUNCTION("""COMPUTED_VALUE"""),"Adriana De Luca")</f>
        <v>Adriana De Luca</v>
      </c>
      <c r="B338" s="1" t="str">
        <f>IFERROR(__xludf.DUMMYFUNCTION("""COMPUTED_VALUE"""),"adrianadelucca")</f>
        <v>adrianadelucca</v>
      </c>
      <c r="C338" s="1" t="str">
        <f>IFERROR(__xludf.DUMMYFUNCTION("""COMPUTED_VALUE"""),"Italian-Brazilian, Risk Management and Finance Professional CFP, Chemistry Teacher. Interested about science,  environment, animals protection, wine and tennis.")</f>
        <v>Italian-Brazilian, Risk Management and Finance Professional CFP, Chemistry Teacher. Interested about science,  environment, animals protection, wine and tennis.</v>
      </c>
      <c r="D338" s="1">
        <f>IFERROR(__xludf.DUMMYFUNCTION("""COMPUTED_VALUE"""),7.934076125018551E-4)</f>
        <v>0.0007934076125</v>
      </c>
      <c r="E338" s="3">
        <f>IFERROR(__xludf.DUMMYFUNCTION("""COMPUTED_VALUE"""),114.0)</f>
        <v>114</v>
      </c>
    </row>
    <row r="339">
      <c r="A339" s="9" t="str">
        <f>IFERROR(__xludf.DUMMYFUNCTION("""COMPUTED_VALUE"""),"Domingos Vasconcelos")</f>
        <v>Domingos Vasconcelos</v>
      </c>
      <c r="B339" s="1" t="str">
        <f>IFERROR(__xludf.DUMMYFUNCTION("""COMPUTED_VALUE"""),"domingosvascon")</f>
        <v>domingosvascon</v>
      </c>
      <c r="C339" s="1" t="str">
        <f>IFERROR(__xludf.DUMMYFUNCTION("""COMPUTED_VALUE"""),"Viajar é preciso! ⛵️")</f>
        <v>Viajar é preciso! ⛵️</v>
      </c>
      <c r="D339" s="1">
        <f>IFERROR(__xludf.DUMMYFUNCTION("""COMPUTED_VALUE"""),7.934076125018551E-4)</f>
        <v>0.0007934076125</v>
      </c>
      <c r="E339" s="3">
        <f>IFERROR(__xludf.DUMMYFUNCTION("""COMPUTED_VALUE"""),1653.0)</f>
        <v>1653</v>
      </c>
    </row>
    <row r="340">
      <c r="A340" s="9" t="str">
        <f>IFERROR(__xludf.DUMMYFUNCTION("""COMPUTED_VALUE"""),"frederico pasche")</f>
        <v>frederico pasche</v>
      </c>
      <c r="B340" s="1" t="str">
        <f>IFERROR(__xludf.DUMMYFUNCTION("""COMPUTED_VALUE"""),"paschefrederico")</f>
        <v>paschefrederico</v>
      </c>
      <c r="C340" s="1"/>
      <c r="D340" s="1">
        <f>IFERROR(__xludf.DUMMYFUNCTION("""COMPUTED_VALUE"""),7.934076125018551E-4)</f>
        <v>0.0007934076125</v>
      </c>
      <c r="E340" s="3">
        <f>IFERROR(__xludf.DUMMYFUNCTION("""COMPUTED_VALUE"""),25.0)</f>
        <v>25</v>
      </c>
    </row>
    <row r="341">
      <c r="A341" s="9" t="str">
        <f>IFERROR(__xludf.DUMMYFUNCTION("""COMPUTED_VALUE"""),"Lucas Augusto")</f>
        <v>Lucas Augusto</v>
      </c>
      <c r="B341" s="1" t="str">
        <f>IFERROR(__xludf.DUMMYFUNCTION("""COMPUTED_VALUE"""),"lucaspereira_ef")</f>
        <v>lucaspereira_ef</v>
      </c>
      <c r="C341" s="1" t="str">
        <f>IFERROR(__xludf.DUMMYFUNCTION("""COMPUTED_VALUE"""),"Educação Financeira de forma descomplicada e ao alcance de todos!
Ações, FII, Altcoins, NFT.
Trading, Price Action.")</f>
        <v>Educação Financeira de forma descomplicada e ao alcance de todos!
Ações, FII, Altcoins, NFT.
Trading, Price Action.</v>
      </c>
      <c r="D341" s="1">
        <f>IFERROR(__xludf.DUMMYFUNCTION("""COMPUTED_VALUE"""),7.934076125018551E-4)</f>
        <v>0.0007934076125</v>
      </c>
      <c r="E341" s="3">
        <f>IFERROR(__xludf.DUMMYFUNCTION("""COMPUTED_VALUE"""),3.0)</f>
        <v>3</v>
      </c>
    </row>
    <row r="342">
      <c r="A342" s="9" t="str">
        <f>IFERROR(__xludf.DUMMYFUNCTION("""COMPUTED_VALUE"""),"Israel Pimentel")</f>
        <v>Israel Pimentel</v>
      </c>
      <c r="B342" s="1" t="str">
        <f>IFERROR(__xludf.DUMMYFUNCTION("""COMPUTED_VALUE"""),"israelpinveste")</f>
        <v>israelpinveste</v>
      </c>
      <c r="C342" s="1" t="str">
        <f>IFERROR(__xludf.DUMMYFUNCTION("""COMPUTED_VALUE"""),"🙅🏼‍♂️ Cripto ₿ e Finanças Pessoais 
🧠 Educação Financeira
📧 Israel@israelpimentel.com.br")</f>
        <v>🙅🏼‍♂️ Cripto ₿ e Finanças Pessoais 
🧠 Educação Financeira
📧 Israel@israelpimentel.com.br</v>
      </c>
      <c r="D342" s="1">
        <f>IFERROR(__xludf.DUMMYFUNCTION("""COMPUTED_VALUE"""),7.934076125018551E-4)</f>
        <v>0.0007934076125</v>
      </c>
      <c r="E342" s="3">
        <f>IFERROR(__xludf.DUMMYFUNCTION("""COMPUTED_VALUE"""),334.0)</f>
        <v>334</v>
      </c>
    </row>
    <row r="343">
      <c r="A343" s="33" t="str">
        <f>IFERROR(__xludf.DUMMYFUNCTION("""COMPUTED_VALUE"""),"Finsiders.com.br")</f>
        <v>Finsiders.com.br</v>
      </c>
      <c r="B343" s="1" t="str">
        <f>IFERROR(__xludf.DUMMYFUNCTION("""COMPUTED_VALUE"""),"finsiders2")</f>
        <v>finsiders2</v>
      </c>
      <c r="C343" s="1" t="str">
        <f>IFERROR(__xludf.DUMMYFUNCTION("""COMPUTED_VALUE"""),"O que você precisa saber sobre o mercado de fintechs, com notícias exclusivas, curadoria e contexto | Por @danylomartins_")</f>
        <v>O que você precisa saber sobre o mercado de fintechs, com notícias exclusivas, curadoria e contexto | Por @danylomartins_</v>
      </c>
      <c r="D343" s="1">
        <f>IFERROR(__xludf.DUMMYFUNCTION("""COMPUTED_VALUE"""),7.934076125018551E-4)</f>
        <v>0.0007934076125</v>
      </c>
      <c r="E343" s="3">
        <f>IFERROR(__xludf.DUMMYFUNCTION("""COMPUTED_VALUE"""),641.0)</f>
        <v>641</v>
      </c>
    </row>
    <row r="344">
      <c r="A344" s="9" t="str">
        <f>IFERROR(__xludf.DUMMYFUNCTION("""COMPUTED_VALUE"""),"hobbit do sertão na aldeia global")</f>
        <v>hobbit do sertão na aldeia global</v>
      </c>
      <c r="B344" s="1" t="str">
        <f>IFERROR(__xludf.DUMMYFUNCTION("""COMPUTED_VALUE"""),"oproprioailton")</f>
        <v>oproprioailton</v>
      </c>
      <c r="C344" s="1" t="str">
        <f>IFERROR(__xludf.DUMMYFUNCTION("""COMPUTED_VALUE"""),"tradicionalista, monarquista, distibutivista.")</f>
        <v>tradicionalista, monarquista, distibutivista.</v>
      </c>
      <c r="D344" s="1">
        <f>IFERROR(__xludf.DUMMYFUNCTION("""COMPUTED_VALUE"""),7.934076125018551E-4)</f>
        <v>0.0007934076125</v>
      </c>
      <c r="E344" s="3">
        <f>IFERROR(__xludf.DUMMYFUNCTION("""COMPUTED_VALUE"""),912.0)</f>
        <v>912</v>
      </c>
    </row>
    <row r="345">
      <c r="A345" s="9" t="str">
        <f>IFERROR(__xludf.DUMMYFUNCTION("""COMPUTED_VALUE"""),"Joana D'Arc do Carmo Soares")</f>
        <v>Joana D'Arc do Carmo Soares</v>
      </c>
      <c r="B345" s="1" t="str">
        <f>IFERROR(__xludf.DUMMYFUNCTION("""COMPUTED_VALUE"""),"joanadarcdocar1")</f>
        <v>joanadarcdocar1</v>
      </c>
      <c r="C345" s="1" t="str">
        <f>IFERROR(__xludf.DUMMYFUNCTION("""COMPUTED_VALUE"""),"Empresária")</f>
        <v>Empresária</v>
      </c>
      <c r="D345" s="1">
        <f>IFERROR(__xludf.DUMMYFUNCTION("""COMPUTED_VALUE"""),7.934076125018551E-4)</f>
        <v>0.0007934076125</v>
      </c>
      <c r="E345" s="3">
        <f>IFERROR(__xludf.DUMMYFUNCTION("""COMPUTED_VALUE"""),103.0)</f>
        <v>103</v>
      </c>
    </row>
    <row r="346">
      <c r="A346" s="9" t="str">
        <f>IFERROR(__xludf.DUMMYFUNCTION("""COMPUTED_VALUE"""),"Por Trás De Tudo")</f>
        <v>Por Trás De Tudo</v>
      </c>
      <c r="B346" s="1" t="str">
        <f>IFERROR(__xludf.DUMMYFUNCTION("""COMPUTED_VALUE"""),"mqsoulja")</f>
        <v>mqsoulja</v>
      </c>
      <c r="C346" s="1" t="str">
        <f>IFERROR(__xludf.DUMMYFUNCTION("""COMPUTED_VALUE"""),"Rapper Angolano membro do grupo Diamonds Whats app +244 926875141 Angolan Rapper , #WaveNation Bookings mqsoulja@gmail.com +244 926875141")</f>
        <v>Rapper Angolano membro do grupo Diamonds Whats app +244 926875141 Angolan Rapper , #WaveNation Bookings mqsoulja@gmail.com +244 926875141</v>
      </c>
      <c r="D346" s="1">
        <f>IFERROR(__xludf.DUMMYFUNCTION("""COMPUTED_VALUE"""),7.934076125018551E-4)</f>
        <v>0.0007934076125</v>
      </c>
      <c r="E346" s="3">
        <f>IFERROR(__xludf.DUMMYFUNCTION("""COMPUTED_VALUE"""),602.0)</f>
        <v>602</v>
      </c>
    </row>
    <row r="347">
      <c r="A347" s="9" t="str">
        <f>IFERROR(__xludf.DUMMYFUNCTION("""COMPUTED_VALUE"""),"Papo Incerto")</f>
        <v>Papo Incerto</v>
      </c>
      <c r="B347" s="1" t="str">
        <f>IFERROR(__xludf.DUMMYFUNCTION("""COMPUTED_VALUE"""),"papoincerto")</f>
        <v>papoincerto</v>
      </c>
      <c r="C347" s="1" t="str">
        <f>IFERROR(__xludf.DUMMYFUNCTION("""COMPUTED_VALUE"""),"Ouça o nosso Podcast
🎙3.8 k plays no APPS de áudio.
📽44.8 k Papo Incerto Podcast
https://t.co/yUzjbG00Zl")</f>
        <v>Ouça o nosso Podcast
🎙3.8 k plays no APPS de áudio.
📽44.8 k Papo Incerto Podcast
https://t.co/yUzjbG00Zl</v>
      </c>
      <c r="D347" s="1">
        <f>IFERROR(__xludf.DUMMYFUNCTION("""COMPUTED_VALUE"""),7.934076125018551E-4)</f>
        <v>0.0007934076125</v>
      </c>
      <c r="E347" s="3">
        <f>IFERROR(__xludf.DUMMYFUNCTION("""COMPUTED_VALUE"""),45.0)</f>
        <v>45</v>
      </c>
    </row>
    <row r="348">
      <c r="A348" s="9" t="str">
        <f>IFERROR(__xludf.DUMMYFUNCTION("""COMPUTED_VALUE"""),"Ilcimar 🐈🇮🇹")</f>
        <v>Ilcimar 🐈🇮🇹</v>
      </c>
      <c r="B348" s="1" t="str">
        <f>IFERROR(__xludf.DUMMYFUNCTION("""COMPUTED_VALUE"""),"capanema2009")</f>
        <v>capanema2009</v>
      </c>
      <c r="C348" s="1" t="str">
        <f>IFERROR(__xludf.DUMMYFUNCTION("""COMPUTED_VALUE"""),"Gosto de escolher minhas ilusões 🎭🎲🎶🍀")</f>
        <v>Gosto de escolher minhas ilusões 🎭🎲🎶🍀</v>
      </c>
      <c r="D348" s="1">
        <f>IFERROR(__xludf.DUMMYFUNCTION("""COMPUTED_VALUE"""),7.934076125018551E-4)</f>
        <v>0.0007934076125</v>
      </c>
      <c r="E348" s="3">
        <f>IFERROR(__xludf.DUMMYFUNCTION("""COMPUTED_VALUE"""),762.0)</f>
        <v>762</v>
      </c>
    </row>
    <row r="349">
      <c r="A349" s="9" t="str">
        <f>IFERROR(__xludf.DUMMYFUNCTION("""COMPUTED_VALUE"""),"cidtff")</f>
        <v>cidtff</v>
      </c>
      <c r="B349" s="1" t="str">
        <f>IFERROR(__xludf.DUMMYFUNCTION("""COMPUTED_VALUE"""),"cidtff")</f>
        <v>cidtff</v>
      </c>
      <c r="C349" s="1" t="str">
        <f>IFERROR(__xludf.DUMMYFUNCTION("""COMPUTED_VALUE"""),"Centro de Investigação em Didática e Tecnologia na Formação de Formadores | Research Center on Didactics and Technology in the Education of Trainers")</f>
        <v>Centro de Investigação em Didática e Tecnologia na Formação de Formadores | Research Center on Didactics and Technology in the Education of Trainers</v>
      </c>
      <c r="D349" s="1">
        <f>IFERROR(__xludf.DUMMYFUNCTION("""COMPUTED_VALUE"""),7.934076125018551E-4)</f>
        <v>0.0007934076125</v>
      </c>
      <c r="E349" s="3">
        <f>IFERROR(__xludf.DUMMYFUNCTION("""COMPUTED_VALUE"""),169.0)</f>
        <v>169</v>
      </c>
    </row>
    <row r="350">
      <c r="A350" s="9" t="str">
        <f>IFERROR(__xludf.DUMMYFUNCTION("""COMPUTED_VALUE"""),"Sergio Luis Dias")</f>
        <v>Sergio Luis Dias</v>
      </c>
      <c r="B350" s="1" t="str">
        <f>IFERROR(__xludf.DUMMYFUNCTION("""COMPUTED_VALUE"""),"sergiotriathlet")</f>
        <v>sergiotriathlet</v>
      </c>
      <c r="C350" s="1" t="str">
        <f>IFERROR(__xludf.DUMMYFUNCTION("""COMPUTED_VALUE"""),"Paixão pelo esporte.")</f>
        <v>Paixão pelo esporte.</v>
      </c>
      <c r="D350" s="1">
        <f>IFERROR(__xludf.DUMMYFUNCTION("""COMPUTED_VALUE"""),7.934076125018551E-4)</f>
        <v>0.0007934076125</v>
      </c>
      <c r="E350" s="3">
        <f>IFERROR(__xludf.DUMMYFUNCTION("""COMPUTED_VALUE"""),213.0)</f>
        <v>213</v>
      </c>
    </row>
    <row r="351">
      <c r="A351" s="9" t="str">
        <f>IFERROR(__xludf.DUMMYFUNCTION("""COMPUTED_VALUE"""),"Rafaela")</f>
        <v>Rafaela</v>
      </c>
      <c r="B351" s="1" t="str">
        <f>IFERROR(__xludf.DUMMYFUNCTION("""COMPUTED_VALUE"""),"rafaelaon")</f>
        <v>rafaelaon</v>
      </c>
      <c r="C351" s="1" t="str">
        <f>IFERROR(__xludf.DUMMYFUNCTION("""COMPUTED_VALUE"""),"This is me... Then")</f>
        <v>This is me... Then</v>
      </c>
      <c r="D351" s="1">
        <f>IFERROR(__xludf.DUMMYFUNCTION("""COMPUTED_VALUE"""),7.934076125018551E-4)</f>
        <v>0.0007934076125</v>
      </c>
      <c r="E351" s="3">
        <f>IFERROR(__xludf.DUMMYFUNCTION("""COMPUTED_VALUE"""),353.0)</f>
        <v>353</v>
      </c>
    </row>
    <row r="352">
      <c r="A352" s="9" t="str">
        <f>IFERROR(__xludf.DUMMYFUNCTION("""COMPUTED_VALUE"""),"NK a Lei da Atração | Nilton Lucas Psicanalista")</f>
        <v>NK a Lei da Atração | Nilton Lucas Psicanalista</v>
      </c>
      <c r="B352" s="1" t="str">
        <f>IFERROR(__xludf.DUMMYFUNCTION("""COMPUTED_VALUE"""),"assunitel")</f>
        <v>assunitel</v>
      </c>
      <c r="C352" s="1" t="str">
        <f>IFERROR(__xludf.DUMMYFUNCTION("""COMPUTED_VALUE"""),"Diretor Jurídico | Psicanalista. Especialista em Desenvolvimento Pessoal. Acesse nosso canal do YouTube: https://t.co/hrZG2VEXud")</f>
        <v>Diretor Jurídico | Psicanalista. Especialista em Desenvolvimento Pessoal. Acesse nosso canal do YouTube: https://t.co/hrZG2VEXud</v>
      </c>
      <c r="D352" s="1">
        <f>IFERROR(__xludf.DUMMYFUNCTION("""COMPUTED_VALUE"""),7.934076125018551E-4)</f>
        <v>0.0007934076125</v>
      </c>
      <c r="E352" s="3">
        <f>IFERROR(__xludf.DUMMYFUNCTION("""COMPUTED_VALUE"""),249.0)</f>
        <v>249</v>
      </c>
    </row>
    <row r="353">
      <c r="A353" s="9" t="str">
        <f>IFERROR(__xludf.DUMMYFUNCTION("""COMPUTED_VALUE"""),"EDIMO PEREIRA")</f>
        <v>EDIMO PEREIRA</v>
      </c>
      <c r="B353" s="1" t="str">
        <f>IFERROR(__xludf.DUMMYFUNCTION("""COMPUTED_VALUE"""),"edimosip")</f>
        <v>edimosip</v>
      </c>
      <c r="C353" s="1"/>
      <c r="D353" s="1">
        <f>IFERROR(__xludf.DUMMYFUNCTION("""COMPUTED_VALUE"""),7.934076125018551E-4)</f>
        <v>0.0007934076125</v>
      </c>
      <c r="E353" s="3">
        <f>IFERROR(__xludf.DUMMYFUNCTION("""COMPUTED_VALUE"""),1106.0)</f>
        <v>1106</v>
      </c>
    </row>
    <row r="354">
      <c r="A354" s="9" t="str">
        <f>IFERROR(__xludf.DUMMYFUNCTION("""COMPUTED_VALUE"""),"Alyson Davalle Alves")</f>
        <v>Alyson Davalle Alves</v>
      </c>
      <c r="B354" s="1" t="str">
        <f>IFERROR(__xludf.DUMMYFUNCTION("""COMPUTED_VALUE"""),"alyson_davalle")</f>
        <v>alyson_davalle</v>
      </c>
      <c r="C354" s="1" t="str">
        <f>IFERROR(__xludf.DUMMYFUNCTION("""COMPUTED_VALUE"""),"compartilhando minhas experiencias com Investimentos, criptos, empreendedorismo.")</f>
        <v>compartilhando minhas experiencias com Investimentos, criptos, empreendedorismo.</v>
      </c>
      <c r="D354" s="1">
        <f>IFERROR(__xludf.DUMMYFUNCTION("""COMPUTED_VALUE"""),7.934076125018551E-4)</f>
        <v>0.0007934076125</v>
      </c>
      <c r="E354" s="3">
        <f>IFERROR(__xludf.DUMMYFUNCTION("""COMPUTED_VALUE"""),20.0)</f>
        <v>20</v>
      </c>
    </row>
    <row r="355">
      <c r="A355" s="9" t="str">
        <f>IFERROR(__xludf.DUMMYFUNCTION("""COMPUTED_VALUE"""),"ⓕⓔⓡⓝⓐⓝⓓⓐ SA ")</f>
        <v>ⓕⓔⓡⓝⓐⓝⓓⓐ SA </v>
      </c>
      <c r="B355" s="1" t="str">
        <f>IFERROR(__xludf.DUMMYFUNCTION("""COMPUTED_VALUE"""),"fee_sa")</f>
        <v>fee_sa</v>
      </c>
      <c r="C355" s="1" t="str">
        <f>IFERROR(__xludf.DUMMYFUNCTION("""COMPUTED_VALUE"""),"eu, apenas Fernanda 𝒻Ｅя几Ａή𝓭𝐚 (っ◔◡◔)っ ♥ Fernanda 𝓕𝓮𝓻𝓷𝓪𝓷𝓭𝓪 ♥")</f>
        <v>eu, apenas Fernanda 𝒻Ｅя几Ａή𝓭𝐚 (っ◔◡◔)っ ♥ Fernanda 𝓕𝓮𝓻𝓷𝓪𝓷𝓭𝓪 ♥</v>
      </c>
      <c r="D355" s="1">
        <f>IFERROR(__xludf.DUMMYFUNCTION("""COMPUTED_VALUE"""),7.934076125018551E-4)</f>
        <v>0.0007934076125</v>
      </c>
      <c r="E355" s="3">
        <f>IFERROR(__xludf.DUMMYFUNCTION("""COMPUTED_VALUE"""),474.0)</f>
        <v>474</v>
      </c>
    </row>
    <row r="356">
      <c r="A356" s="1"/>
      <c r="B356" s="1"/>
      <c r="C356" s="1"/>
      <c r="D356" s="1"/>
      <c r="E356" s="3"/>
    </row>
    <row r="357">
      <c r="A357" s="1"/>
      <c r="B357" s="1"/>
      <c r="C357" s="1"/>
      <c r="D357" s="1"/>
      <c r="E357" s="3"/>
    </row>
    <row r="358">
      <c r="A358" s="1"/>
      <c r="B358" s="1"/>
      <c r="C358" s="1"/>
      <c r="D358" s="1"/>
      <c r="E358" s="3"/>
    </row>
    <row r="359">
      <c r="A359" s="1"/>
      <c r="B359" s="1"/>
      <c r="C359" s="1"/>
      <c r="D359" s="1"/>
      <c r="E359" s="3"/>
    </row>
    <row r="360">
      <c r="A360" s="1"/>
      <c r="B360" s="1"/>
      <c r="C360" s="1"/>
      <c r="D360" s="1"/>
      <c r="E360" s="3"/>
    </row>
    <row r="361">
      <c r="A361" s="1"/>
      <c r="B361" s="1"/>
      <c r="C361" s="1"/>
      <c r="D361" s="1"/>
      <c r="E361" s="3"/>
    </row>
    <row r="362">
      <c r="A362" s="1"/>
      <c r="B362" s="1"/>
      <c r="C362" s="1"/>
      <c r="D362" s="1"/>
      <c r="E362" s="3"/>
    </row>
    <row r="363">
      <c r="A363" s="1"/>
      <c r="B363" s="1"/>
      <c r="C363" s="1"/>
      <c r="D363" s="1"/>
      <c r="E363" s="3"/>
    </row>
    <row r="364">
      <c r="A364" s="1"/>
      <c r="B364" s="1"/>
      <c r="C364" s="1"/>
      <c r="D364" s="1"/>
      <c r="E364" s="3"/>
    </row>
    <row r="365">
      <c r="A365" s="1"/>
      <c r="B365" s="1"/>
      <c r="C365" s="1"/>
      <c r="D365" s="1"/>
      <c r="E365" s="3"/>
    </row>
    <row r="366">
      <c r="A366" s="1"/>
      <c r="B366" s="1"/>
      <c r="C366" s="1"/>
      <c r="D366" s="1"/>
      <c r="E366" s="3"/>
    </row>
    <row r="367">
      <c r="A367" s="1"/>
      <c r="B367" s="1"/>
      <c r="C367" s="1"/>
      <c r="D367" s="1"/>
      <c r="E367" s="3"/>
    </row>
    <row r="368">
      <c r="A368" s="1"/>
      <c r="B368" s="1"/>
      <c r="C368" s="1"/>
      <c r="D368" s="1"/>
      <c r="E368" s="3"/>
    </row>
    <row r="369">
      <c r="A369" s="1"/>
      <c r="B369" s="1"/>
      <c r="C369" s="1"/>
      <c r="D369" s="1"/>
      <c r="E369" s="3"/>
    </row>
    <row r="370">
      <c r="A370" s="1"/>
      <c r="B370" s="1"/>
      <c r="C370" s="1"/>
      <c r="D370" s="1"/>
      <c r="E370" s="3"/>
    </row>
    <row r="371">
      <c r="A371" s="1"/>
      <c r="B371" s="1"/>
      <c r="C371" s="1"/>
      <c r="D371" s="1"/>
      <c r="E371" s="3"/>
    </row>
    <row r="372">
      <c r="A372" s="1"/>
      <c r="B372" s="1"/>
      <c r="C372" s="1"/>
      <c r="D372" s="1"/>
      <c r="E372" s="3"/>
    </row>
    <row r="373">
      <c r="A373" s="1"/>
      <c r="B373" s="1"/>
      <c r="C373" s="1"/>
      <c r="D373" s="1"/>
      <c r="E373" s="3"/>
    </row>
    <row r="374">
      <c r="A374" s="1"/>
      <c r="B374" s="1"/>
      <c r="C374" s="1"/>
      <c r="D374" s="1"/>
      <c r="E374" s="3"/>
    </row>
    <row r="375">
      <c r="A375" s="1"/>
      <c r="B375" s="1"/>
      <c r="C375" s="1"/>
      <c r="D375" s="1"/>
      <c r="E375" s="3"/>
    </row>
    <row r="376">
      <c r="A376" s="1"/>
      <c r="B376" s="1"/>
      <c r="C376" s="1"/>
      <c r="D376" s="1"/>
      <c r="E376" s="3"/>
    </row>
    <row r="377">
      <c r="A377" s="1"/>
      <c r="B377" s="1"/>
      <c r="C377" s="1"/>
      <c r="D377" s="1"/>
      <c r="E377" s="3"/>
    </row>
    <row r="378">
      <c r="A378" s="1"/>
      <c r="B378" s="1"/>
      <c r="C378" s="1"/>
      <c r="D378" s="1"/>
      <c r="E378" s="3"/>
    </row>
    <row r="379">
      <c r="A379" s="1"/>
      <c r="B379" s="1"/>
      <c r="C379" s="1"/>
      <c r="D379" s="1"/>
      <c r="E379" s="3"/>
    </row>
    <row r="380">
      <c r="A380" s="1"/>
      <c r="B380" s="1"/>
      <c r="C380" s="1"/>
      <c r="D380" s="1"/>
      <c r="E380" s="3"/>
    </row>
    <row r="381">
      <c r="A381" s="1"/>
      <c r="B381" s="1"/>
      <c r="C381" s="1"/>
      <c r="D381" s="1"/>
      <c r="E381" s="3"/>
    </row>
    <row r="382">
      <c r="A382" s="1"/>
      <c r="B382" s="1"/>
      <c r="C382" s="1"/>
      <c r="D382" s="1"/>
      <c r="E382" s="3"/>
    </row>
    <row r="383">
      <c r="A383" s="1"/>
      <c r="B383" s="1"/>
      <c r="C383" s="1"/>
      <c r="D383" s="1"/>
      <c r="E383" s="3"/>
    </row>
    <row r="384">
      <c r="A384" s="1"/>
      <c r="B384" s="1"/>
      <c r="C384" s="1"/>
      <c r="D384" s="1"/>
      <c r="E384" s="3"/>
    </row>
    <row r="385">
      <c r="A385" s="1"/>
      <c r="B385" s="1"/>
      <c r="C385" s="1"/>
      <c r="D385" s="1"/>
      <c r="E385" s="3"/>
    </row>
    <row r="386">
      <c r="A386" s="1"/>
      <c r="B386" s="1"/>
      <c r="C386" s="1"/>
      <c r="D386" s="1"/>
      <c r="E386" s="3"/>
    </row>
    <row r="387">
      <c r="A387" s="1"/>
      <c r="B387" s="1"/>
      <c r="C387" s="1"/>
      <c r="D387" s="1"/>
      <c r="E387" s="3"/>
    </row>
    <row r="388">
      <c r="A388" s="1"/>
      <c r="B388" s="1"/>
      <c r="C388" s="1"/>
      <c r="D388" s="1"/>
      <c r="E388" s="3"/>
    </row>
    <row r="389">
      <c r="A389" s="1"/>
      <c r="B389" s="1"/>
      <c r="C389" s="1"/>
      <c r="D389" s="1"/>
      <c r="E389" s="3"/>
    </row>
    <row r="390">
      <c r="A390" s="1"/>
      <c r="B390" s="1"/>
      <c r="C390" s="1"/>
      <c r="D390" s="1"/>
      <c r="E390" s="3"/>
    </row>
    <row r="391">
      <c r="A391" s="1"/>
      <c r="B391" s="1"/>
      <c r="C391" s="1"/>
      <c r="D391" s="1"/>
      <c r="E391" s="3"/>
    </row>
    <row r="392">
      <c r="A392" s="1"/>
      <c r="B392" s="1"/>
      <c r="C392" s="1"/>
      <c r="D392" s="1"/>
      <c r="E392" s="3"/>
    </row>
    <row r="393">
      <c r="A393" s="1"/>
      <c r="B393" s="1"/>
      <c r="C393" s="1"/>
      <c r="D393" s="1"/>
      <c r="E393" s="3"/>
    </row>
    <row r="394">
      <c r="A394" s="1"/>
      <c r="B394" s="1"/>
      <c r="C394" s="1"/>
      <c r="D394" s="1"/>
      <c r="E394" s="3"/>
    </row>
    <row r="395">
      <c r="A395" s="1"/>
      <c r="B395" s="1"/>
      <c r="C395" s="1"/>
      <c r="D395" s="1"/>
      <c r="E395" s="3"/>
    </row>
    <row r="396">
      <c r="A396" s="1"/>
      <c r="B396" s="1"/>
      <c r="C396" s="1"/>
      <c r="D396" s="1"/>
      <c r="E396" s="3"/>
    </row>
    <row r="397">
      <c r="A397" s="1"/>
      <c r="B397" s="1"/>
      <c r="C397" s="1"/>
      <c r="D397" s="1"/>
      <c r="E397" s="3"/>
    </row>
    <row r="398">
      <c r="A398" s="1"/>
      <c r="B398" s="1"/>
      <c r="C398" s="1"/>
      <c r="D398" s="1"/>
      <c r="E398" s="3"/>
    </row>
    <row r="399">
      <c r="A399" s="1"/>
      <c r="B399" s="1"/>
      <c r="C399" s="1"/>
      <c r="D399" s="1"/>
      <c r="E399" s="3"/>
    </row>
    <row r="400">
      <c r="A400" s="1"/>
      <c r="B400" s="1"/>
      <c r="C400" s="1"/>
      <c r="D400" s="1"/>
      <c r="E400" s="3"/>
    </row>
    <row r="401">
      <c r="A401" s="1"/>
      <c r="B401" s="1"/>
      <c r="C401" s="1"/>
      <c r="D401" s="1"/>
      <c r="E401" s="3"/>
    </row>
    <row r="402">
      <c r="A402" s="1"/>
      <c r="B402" s="1"/>
      <c r="C402" s="1"/>
      <c r="D402" s="1"/>
      <c r="E402" s="3"/>
    </row>
    <row r="403">
      <c r="A403" s="1"/>
      <c r="B403" s="1"/>
      <c r="C403" s="1"/>
      <c r="D403" s="1"/>
      <c r="E403" s="3"/>
    </row>
    <row r="404">
      <c r="A404" s="1"/>
      <c r="B404" s="1"/>
      <c r="C404" s="1"/>
      <c r="D404" s="1"/>
      <c r="E404" s="3"/>
    </row>
    <row r="405">
      <c r="A405" s="1"/>
      <c r="B405" s="1"/>
      <c r="C405" s="1"/>
      <c r="D405" s="1"/>
      <c r="E405" s="3"/>
    </row>
    <row r="406">
      <c r="A406" s="1"/>
      <c r="B406" s="1"/>
      <c r="C406" s="1"/>
      <c r="D406" s="1"/>
      <c r="E406" s="3"/>
    </row>
    <row r="407">
      <c r="A407" s="1"/>
      <c r="B407" s="1"/>
      <c r="C407" s="1"/>
      <c r="D407" s="1"/>
      <c r="E407" s="3"/>
    </row>
    <row r="408">
      <c r="A408" s="1"/>
      <c r="B408" s="1"/>
      <c r="C408" s="1"/>
      <c r="D408" s="1"/>
      <c r="E408" s="3"/>
    </row>
    <row r="409">
      <c r="A409" s="1"/>
      <c r="B409" s="1"/>
      <c r="C409" s="1"/>
      <c r="D409" s="1"/>
      <c r="E409" s="3"/>
    </row>
    <row r="410">
      <c r="A410" s="1"/>
      <c r="B410" s="1"/>
      <c r="C410" s="1"/>
      <c r="D410" s="1"/>
      <c r="E410" s="3"/>
    </row>
    <row r="411">
      <c r="A411" s="1"/>
      <c r="B411" s="1"/>
      <c r="C411" s="1"/>
      <c r="D411" s="1"/>
      <c r="E411" s="3"/>
    </row>
    <row r="412">
      <c r="A412" s="1"/>
      <c r="B412" s="1"/>
      <c r="C412" s="1"/>
      <c r="D412" s="1"/>
      <c r="E412" s="3"/>
    </row>
    <row r="413">
      <c r="A413" s="1"/>
      <c r="B413" s="1"/>
      <c r="C413" s="1"/>
      <c r="D413" s="1"/>
      <c r="E413" s="3"/>
    </row>
    <row r="414">
      <c r="A414" s="1"/>
      <c r="B414" s="1"/>
      <c r="C414" s="1"/>
      <c r="D414" s="1"/>
      <c r="E414" s="3"/>
    </row>
    <row r="415">
      <c r="A415" s="1"/>
      <c r="B415" s="1"/>
      <c r="C415" s="1"/>
      <c r="D415" s="1"/>
      <c r="E415" s="3"/>
    </row>
    <row r="416">
      <c r="A416" s="1"/>
      <c r="B416" s="1"/>
      <c r="C416" s="1"/>
      <c r="D416" s="1"/>
      <c r="E416" s="3"/>
    </row>
    <row r="417">
      <c r="A417" s="1"/>
      <c r="B417" s="1"/>
      <c r="C417" s="1"/>
      <c r="D417" s="1"/>
      <c r="E417" s="3"/>
    </row>
    <row r="418">
      <c r="A418" s="1"/>
      <c r="B418" s="1"/>
      <c r="C418" s="1"/>
      <c r="D418" s="1"/>
      <c r="E418" s="3"/>
    </row>
    <row r="419">
      <c r="A419" s="1"/>
      <c r="B419" s="1"/>
      <c r="C419" s="1"/>
      <c r="D419" s="1"/>
      <c r="E419" s="3"/>
    </row>
    <row r="420">
      <c r="A420" s="1"/>
      <c r="B420" s="1"/>
      <c r="C420" s="1"/>
      <c r="D420" s="1"/>
      <c r="E420" s="3"/>
    </row>
    <row r="421">
      <c r="A421" s="1"/>
      <c r="B421" s="1"/>
      <c r="C421" s="1"/>
      <c r="D421" s="1"/>
      <c r="E421" s="3"/>
    </row>
    <row r="422">
      <c r="A422" s="1"/>
      <c r="B422" s="1"/>
      <c r="C422" s="1"/>
      <c r="D422" s="1"/>
      <c r="E422" s="3"/>
    </row>
    <row r="423">
      <c r="A423" s="1"/>
      <c r="B423" s="1"/>
      <c r="C423" s="1"/>
      <c r="D423" s="1"/>
      <c r="E423" s="3"/>
    </row>
    <row r="424">
      <c r="A424" s="1"/>
      <c r="B424" s="1"/>
      <c r="C424" s="1"/>
      <c r="D424" s="1"/>
      <c r="E424" s="3"/>
    </row>
    <row r="425">
      <c r="A425" s="1"/>
      <c r="B425" s="1"/>
      <c r="C425" s="1"/>
      <c r="D425" s="1"/>
      <c r="E425" s="3"/>
    </row>
    <row r="426">
      <c r="A426" s="1"/>
      <c r="B426" s="1"/>
      <c r="C426" s="1"/>
      <c r="D426" s="1"/>
      <c r="E426" s="3"/>
    </row>
    <row r="427">
      <c r="A427" s="1"/>
      <c r="B427" s="1"/>
      <c r="C427" s="1"/>
      <c r="D427" s="1"/>
      <c r="E427" s="3"/>
    </row>
    <row r="428">
      <c r="A428" s="1"/>
      <c r="B428" s="1"/>
      <c r="C428" s="1"/>
      <c r="D428" s="1"/>
      <c r="E428" s="3"/>
    </row>
    <row r="429">
      <c r="A429" s="1"/>
      <c r="B429" s="1"/>
      <c r="C429" s="1"/>
      <c r="D429" s="1"/>
      <c r="E429" s="3"/>
    </row>
    <row r="430">
      <c r="A430" s="1"/>
      <c r="B430" s="1"/>
      <c r="C430" s="1"/>
      <c r="D430" s="1"/>
      <c r="E430" s="3"/>
    </row>
    <row r="431">
      <c r="A431" s="1"/>
      <c r="B431" s="1"/>
      <c r="C431" s="1"/>
      <c r="D431" s="1"/>
      <c r="E431" s="3"/>
    </row>
    <row r="432">
      <c r="A432" s="1"/>
      <c r="B432" s="1"/>
      <c r="C432" s="1"/>
      <c r="D432" s="1"/>
      <c r="E432" s="3"/>
    </row>
    <row r="433">
      <c r="A433" s="1"/>
      <c r="B433" s="1"/>
      <c r="C433" s="1"/>
      <c r="D433" s="1"/>
      <c r="E433" s="3"/>
    </row>
    <row r="434">
      <c r="A434" s="1"/>
      <c r="B434" s="1"/>
      <c r="C434" s="1"/>
      <c r="D434" s="1"/>
      <c r="E434" s="3"/>
    </row>
    <row r="435">
      <c r="A435" s="1"/>
      <c r="B435" s="1"/>
      <c r="C435" s="1"/>
      <c r="D435" s="1"/>
      <c r="E435" s="3"/>
    </row>
    <row r="436">
      <c r="A436" s="1"/>
      <c r="B436" s="1"/>
      <c r="C436" s="1"/>
      <c r="D436" s="1"/>
      <c r="E436" s="3"/>
    </row>
    <row r="437">
      <c r="A437" s="1"/>
      <c r="B437" s="1"/>
      <c r="C437" s="1"/>
      <c r="D437" s="1"/>
      <c r="E437" s="3"/>
    </row>
    <row r="438">
      <c r="A438" s="1"/>
      <c r="B438" s="1"/>
      <c r="C438" s="1"/>
      <c r="D438" s="1"/>
      <c r="E438" s="3"/>
    </row>
    <row r="439">
      <c r="A439" s="1"/>
      <c r="B439" s="1"/>
      <c r="C439" s="1"/>
      <c r="D439" s="1"/>
      <c r="E439" s="3"/>
    </row>
    <row r="440">
      <c r="A440" s="1"/>
      <c r="B440" s="1"/>
      <c r="C440" s="1"/>
      <c r="D440" s="1"/>
      <c r="E440" s="3"/>
    </row>
    <row r="441">
      <c r="A441" s="1"/>
      <c r="B441" s="1"/>
      <c r="C441" s="1"/>
      <c r="D441" s="1"/>
      <c r="E441" s="3"/>
    </row>
    <row r="442">
      <c r="A442" s="1"/>
      <c r="B442" s="1"/>
      <c r="C442" s="1"/>
      <c r="D442" s="1"/>
      <c r="E442" s="3"/>
    </row>
    <row r="443">
      <c r="A443" s="1"/>
      <c r="B443" s="1"/>
      <c r="C443" s="1"/>
      <c r="D443" s="1"/>
      <c r="E443" s="3"/>
    </row>
    <row r="444">
      <c r="A444" s="1"/>
      <c r="B444" s="1"/>
      <c r="C444" s="1"/>
      <c r="D444" s="1"/>
      <c r="E444" s="3"/>
    </row>
    <row r="445">
      <c r="A445" s="1"/>
      <c r="B445" s="1"/>
      <c r="C445" s="1"/>
      <c r="D445" s="1"/>
      <c r="E445" s="3"/>
    </row>
    <row r="446">
      <c r="A446" s="1"/>
      <c r="B446" s="1"/>
      <c r="C446" s="1"/>
      <c r="D446" s="1"/>
      <c r="E446" s="3"/>
    </row>
    <row r="447">
      <c r="A447" s="1"/>
      <c r="B447" s="1"/>
      <c r="C447" s="1"/>
      <c r="D447" s="1"/>
      <c r="E447" s="3"/>
    </row>
    <row r="448">
      <c r="A448" s="1"/>
      <c r="B448" s="1"/>
      <c r="C448" s="1"/>
      <c r="D448" s="1"/>
      <c r="E448" s="3"/>
    </row>
    <row r="449">
      <c r="A449" s="1"/>
      <c r="B449" s="1"/>
      <c r="C449" s="1"/>
      <c r="D449" s="1"/>
      <c r="E449" s="3"/>
    </row>
    <row r="450">
      <c r="A450" s="1"/>
      <c r="B450" s="1"/>
      <c r="C450" s="1"/>
      <c r="D450" s="1"/>
      <c r="E450" s="3"/>
    </row>
    <row r="451">
      <c r="A451" s="1"/>
      <c r="B451" s="1"/>
      <c r="C451" s="1"/>
      <c r="D451" s="1"/>
      <c r="E451" s="3"/>
    </row>
    <row r="452">
      <c r="A452" s="1"/>
      <c r="B452" s="1"/>
      <c r="C452" s="1"/>
      <c r="D452" s="1"/>
      <c r="E452" s="3"/>
    </row>
    <row r="453">
      <c r="A453" s="1"/>
      <c r="B453" s="1"/>
      <c r="C453" s="1"/>
      <c r="D453" s="1"/>
      <c r="E453" s="3"/>
    </row>
    <row r="454">
      <c r="A454" s="1"/>
      <c r="B454" s="1"/>
      <c r="C454" s="1"/>
      <c r="D454" s="1"/>
      <c r="E454" s="3"/>
    </row>
    <row r="455">
      <c r="A455" s="1"/>
      <c r="B455" s="1"/>
      <c r="C455" s="1"/>
      <c r="D455" s="1"/>
      <c r="E455" s="3"/>
    </row>
    <row r="456">
      <c r="A456" s="1"/>
      <c r="B456" s="1"/>
      <c r="C456" s="1"/>
      <c r="D456" s="1"/>
      <c r="E456" s="3"/>
    </row>
    <row r="457">
      <c r="A457" s="1"/>
      <c r="B457" s="1"/>
      <c r="C457" s="1"/>
      <c r="D457" s="1"/>
      <c r="E457" s="3"/>
    </row>
    <row r="458">
      <c r="A458" s="1"/>
      <c r="B458" s="1"/>
      <c r="C458" s="1"/>
      <c r="D458" s="1"/>
      <c r="E458" s="3"/>
    </row>
    <row r="459">
      <c r="A459" s="1"/>
      <c r="B459" s="1"/>
      <c r="C459" s="1"/>
      <c r="D459" s="1"/>
      <c r="E459" s="3"/>
    </row>
    <row r="460">
      <c r="A460" s="1"/>
      <c r="B460" s="1"/>
      <c r="C460" s="1"/>
      <c r="D460" s="1"/>
      <c r="E460" s="3"/>
    </row>
    <row r="461">
      <c r="A461" s="1"/>
      <c r="B461" s="1"/>
      <c r="C461" s="1"/>
      <c r="D461" s="1"/>
      <c r="E461" s="3"/>
    </row>
    <row r="462">
      <c r="A462" s="1"/>
      <c r="B462" s="1"/>
      <c r="C462" s="1"/>
      <c r="D462" s="1"/>
      <c r="E462" s="3"/>
    </row>
    <row r="463">
      <c r="A463" s="1"/>
      <c r="B463" s="1"/>
      <c r="C463" s="1"/>
      <c r="D463" s="1"/>
      <c r="E463" s="3"/>
    </row>
    <row r="464">
      <c r="A464" s="1"/>
      <c r="B464" s="1"/>
      <c r="C464" s="1"/>
      <c r="D464" s="1"/>
      <c r="E464" s="3"/>
    </row>
    <row r="465">
      <c r="A465" s="1"/>
      <c r="B465" s="1"/>
      <c r="C465" s="1"/>
      <c r="D465" s="1"/>
      <c r="E465" s="3"/>
    </row>
    <row r="466">
      <c r="A466" s="1"/>
      <c r="B466" s="1"/>
      <c r="C466" s="1"/>
      <c r="D466" s="1"/>
      <c r="E466" s="3"/>
    </row>
    <row r="467">
      <c r="A467" s="1"/>
      <c r="B467" s="1"/>
      <c r="C467" s="1"/>
      <c r="D467" s="1"/>
      <c r="E467" s="3"/>
    </row>
    <row r="468">
      <c r="A468" s="1"/>
      <c r="B468" s="1"/>
      <c r="C468" s="1"/>
      <c r="D468" s="1"/>
      <c r="E468" s="3"/>
    </row>
    <row r="469">
      <c r="A469" s="1"/>
      <c r="B469" s="1"/>
      <c r="C469" s="1"/>
      <c r="D469" s="1"/>
      <c r="E469" s="3"/>
    </row>
    <row r="470">
      <c r="A470" s="1"/>
      <c r="B470" s="1"/>
      <c r="C470" s="1"/>
      <c r="D470" s="1"/>
      <c r="E470" s="3"/>
    </row>
    <row r="471">
      <c r="A471" s="1"/>
      <c r="B471" s="1"/>
      <c r="C471" s="1"/>
      <c r="D471" s="1"/>
      <c r="E471" s="3"/>
    </row>
    <row r="472">
      <c r="A472" s="1"/>
      <c r="B472" s="1"/>
      <c r="C472" s="1"/>
      <c r="D472" s="1"/>
      <c r="E472" s="3"/>
    </row>
    <row r="473">
      <c r="A473" s="1"/>
      <c r="B473" s="1"/>
      <c r="C473" s="1"/>
      <c r="D473" s="1"/>
      <c r="E473" s="3"/>
    </row>
    <row r="474">
      <c r="A474" s="1"/>
      <c r="B474" s="1"/>
      <c r="C474" s="1"/>
      <c r="D474" s="1"/>
      <c r="E474" s="3"/>
    </row>
    <row r="475">
      <c r="A475" s="1"/>
      <c r="B475" s="1"/>
      <c r="C475" s="1"/>
      <c r="D475" s="1"/>
      <c r="E475" s="3"/>
    </row>
    <row r="476">
      <c r="A476" s="1"/>
      <c r="B476" s="1"/>
      <c r="C476" s="1"/>
      <c r="D476" s="1"/>
      <c r="E476" s="3"/>
    </row>
    <row r="477">
      <c r="A477" s="1"/>
      <c r="B477" s="1"/>
      <c r="C477" s="1"/>
      <c r="D477" s="1"/>
      <c r="E477" s="3"/>
    </row>
    <row r="478">
      <c r="A478" s="1"/>
      <c r="B478" s="1"/>
      <c r="C478" s="1"/>
      <c r="D478" s="1"/>
      <c r="E478" s="3"/>
    </row>
    <row r="479">
      <c r="A479" s="1"/>
      <c r="B479" s="1"/>
      <c r="C479" s="1"/>
      <c r="D479" s="1"/>
      <c r="E479" s="3"/>
    </row>
    <row r="480">
      <c r="A480" s="1"/>
      <c r="B480" s="1"/>
      <c r="C480" s="1"/>
      <c r="D480" s="1"/>
      <c r="E480" s="3"/>
    </row>
    <row r="481">
      <c r="A481" s="1"/>
      <c r="B481" s="1"/>
      <c r="C481" s="1"/>
      <c r="D481" s="1"/>
      <c r="E481" s="3"/>
    </row>
    <row r="482">
      <c r="A482" s="1"/>
      <c r="B482" s="1"/>
      <c r="C482" s="1"/>
      <c r="D482" s="1"/>
      <c r="E482" s="3"/>
    </row>
    <row r="483">
      <c r="A483" s="1"/>
      <c r="B483" s="1"/>
      <c r="C483" s="1"/>
      <c r="D483" s="1"/>
      <c r="E483" s="3"/>
    </row>
    <row r="484">
      <c r="A484" s="1"/>
      <c r="B484" s="1"/>
      <c r="C484" s="1"/>
      <c r="D484" s="1"/>
      <c r="E484" s="3"/>
    </row>
    <row r="485">
      <c r="A485" s="1"/>
      <c r="B485" s="1"/>
      <c r="C485" s="1"/>
      <c r="D485" s="1"/>
      <c r="E485" s="3"/>
    </row>
    <row r="486">
      <c r="A486" s="1"/>
      <c r="B486" s="1"/>
      <c r="C486" s="1"/>
      <c r="D486" s="1"/>
      <c r="E486" s="3"/>
    </row>
    <row r="487">
      <c r="A487" s="1"/>
      <c r="B487" s="1"/>
      <c r="C487" s="1"/>
      <c r="D487" s="1"/>
      <c r="E487" s="3"/>
    </row>
    <row r="488">
      <c r="A488" s="1"/>
      <c r="B488" s="1"/>
      <c r="C488" s="1"/>
      <c r="D488" s="1"/>
      <c r="E488" s="3"/>
    </row>
    <row r="489">
      <c r="A489" s="1"/>
      <c r="B489" s="1"/>
      <c r="C489" s="1"/>
      <c r="D489" s="1"/>
      <c r="E489" s="3"/>
    </row>
    <row r="490">
      <c r="A490" s="1"/>
      <c r="B490" s="1"/>
      <c r="C490" s="1"/>
      <c r="D490" s="1"/>
      <c r="E490" s="3"/>
    </row>
    <row r="491">
      <c r="A491" s="1"/>
      <c r="B491" s="1"/>
      <c r="C491" s="1"/>
      <c r="D491" s="1"/>
      <c r="E491" s="3"/>
    </row>
    <row r="492">
      <c r="A492" s="1"/>
      <c r="B492" s="1"/>
      <c r="C492" s="1"/>
      <c r="D492" s="1"/>
      <c r="E492" s="3"/>
    </row>
    <row r="493">
      <c r="A493" s="1"/>
      <c r="B493" s="1"/>
      <c r="C493" s="1"/>
      <c r="D493" s="1"/>
      <c r="E493" s="3"/>
    </row>
    <row r="494">
      <c r="A494" s="1"/>
      <c r="B494" s="1"/>
      <c r="C494" s="1"/>
      <c r="D494" s="1"/>
      <c r="E494" s="3"/>
    </row>
    <row r="495">
      <c r="A495" s="1"/>
      <c r="B495" s="1"/>
      <c r="C495" s="1"/>
      <c r="D495" s="1"/>
      <c r="E495" s="3"/>
    </row>
    <row r="496">
      <c r="A496" s="1"/>
      <c r="B496" s="1"/>
      <c r="C496" s="1"/>
      <c r="D496" s="1"/>
      <c r="E496" s="3"/>
    </row>
    <row r="497">
      <c r="A497" s="1"/>
      <c r="B497" s="1"/>
      <c r="C497" s="1"/>
      <c r="D497" s="1"/>
      <c r="E497" s="3"/>
    </row>
    <row r="498">
      <c r="A498" s="1"/>
      <c r="B498" s="1"/>
      <c r="C498" s="1"/>
      <c r="D498" s="1"/>
      <c r="E498" s="3"/>
    </row>
    <row r="499">
      <c r="A499" s="1"/>
      <c r="B499" s="1"/>
      <c r="C499" s="1"/>
      <c r="D499" s="1"/>
      <c r="E499" s="3"/>
    </row>
    <row r="500">
      <c r="A500" s="1"/>
      <c r="B500" s="1"/>
      <c r="C500" s="1"/>
      <c r="D500" s="1"/>
      <c r="E500" s="3"/>
    </row>
    <row r="501">
      <c r="A501" s="1"/>
      <c r="B501" s="1"/>
      <c r="C501" s="1"/>
      <c r="D501" s="1"/>
      <c r="E501" s="3"/>
    </row>
    <row r="502">
      <c r="A502" s="1"/>
      <c r="B502" s="1"/>
      <c r="C502" s="1"/>
      <c r="D502" s="1"/>
      <c r="E502" s="3"/>
    </row>
    <row r="503">
      <c r="A503" s="1"/>
      <c r="B503" s="1"/>
      <c r="C503" s="1"/>
      <c r="D503" s="1"/>
      <c r="E503" s="3"/>
    </row>
    <row r="504">
      <c r="A504" s="1"/>
      <c r="B504" s="1"/>
      <c r="C504" s="1"/>
      <c r="D504" s="1"/>
      <c r="E504" s="3"/>
    </row>
    <row r="505">
      <c r="A505" s="1"/>
      <c r="B505" s="1"/>
      <c r="C505" s="1"/>
      <c r="D505" s="1"/>
      <c r="E505" s="3"/>
    </row>
    <row r="506">
      <c r="A506" s="1"/>
      <c r="B506" s="1"/>
      <c r="C506" s="1"/>
      <c r="D506" s="1"/>
      <c r="E506" s="3"/>
    </row>
    <row r="507">
      <c r="A507" s="1"/>
      <c r="B507" s="1"/>
      <c r="C507" s="1"/>
      <c r="D507" s="1"/>
      <c r="E507" s="3"/>
    </row>
    <row r="508">
      <c r="A508" s="1"/>
      <c r="B508" s="1"/>
      <c r="C508" s="1"/>
      <c r="D508" s="1"/>
      <c r="E508" s="3"/>
    </row>
    <row r="509">
      <c r="A509" s="1"/>
      <c r="B509" s="1"/>
      <c r="C509" s="1"/>
      <c r="D509" s="1"/>
      <c r="E509" s="3"/>
    </row>
    <row r="510">
      <c r="A510" s="1"/>
      <c r="B510" s="1"/>
      <c r="C510" s="1"/>
      <c r="D510" s="1"/>
      <c r="E510" s="3"/>
    </row>
    <row r="511">
      <c r="A511" s="1"/>
      <c r="B511" s="1"/>
      <c r="C511" s="1"/>
      <c r="D511" s="1"/>
      <c r="E511" s="3"/>
    </row>
    <row r="512">
      <c r="A512" s="1"/>
      <c r="B512" s="1"/>
      <c r="C512" s="1"/>
      <c r="D512" s="1"/>
      <c r="E512" s="3"/>
    </row>
    <row r="513">
      <c r="A513" s="1"/>
      <c r="B513" s="1"/>
      <c r="C513" s="1"/>
      <c r="D513" s="1"/>
      <c r="E513" s="3"/>
    </row>
    <row r="514">
      <c r="A514" s="1"/>
      <c r="B514" s="1"/>
      <c r="C514" s="1"/>
      <c r="D514" s="1"/>
      <c r="E514" s="3"/>
    </row>
    <row r="515">
      <c r="A515" s="1"/>
      <c r="B515" s="1"/>
      <c r="C515" s="1"/>
      <c r="D515" s="1"/>
      <c r="E515" s="3"/>
    </row>
    <row r="516">
      <c r="A516" s="1"/>
      <c r="B516" s="1"/>
      <c r="C516" s="1"/>
      <c r="D516" s="1"/>
      <c r="E516" s="3"/>
    </row>
    <row r="517">
      <c r="A517" s="1"/>
      <c r="B517" s="1"/>
      <c r="C517" s="1"/>
      <c r="D517" s="1"/>
      <c r="E517" s="3"/>
    </row>
    <row r="518">
      <c r="A518" s="1"/>
      <c r="B518" s="1"/>
      <c r="C518" s="1"/>
      <c r="D518" s="1"/>
      <c r="E518" s="3"/>
    </row>
    <row r="519">
      <c r="A519" s="1"/>
      <c r="B519" s="1"/>
      <c r="C519" s="1"/>
      <c r="D519" s="1"/>
      <c r="E519" s="3"/>
    </row>
    <row r="520">
      <c r="A520" s="1"/>
      <c r="B520" s="1"/>
      <c r="C520" s="1"/>
      <c r="D520" s="1"/>
      <c r="E520" s="3"/>
    </row>
    <row r="521">
      <c r="A521" s="1"/>
      <c r="B521" s="1"/>
      <c r="C521" s="1"/>
      <c r="D521" s="1"/>
      <c r="E521" s="3"/>
    </row>
    <row r="522">
      <c r="A522" s="1"/>
      <c r="B522" s="1"/>
      <c r="C522" s="1"/>
      <c r="D522" s="1"/>
      <c r="E522" s="3"/>
    </row>
    <row r="523">
      <c r="A523" s="1"/>
      <c r="B523" s="1"/>
      <c r="C523" s="1"/>
      <c r="D523" s="1"/>
      <c r="E523" s="3"/>
    </row>
    <row r="524">
      <c r="A524" s="1"/>
      <c r="B524" s="1"/>
      <c r="C524" s="1"/>
      <c r="D524" s="1"/>
      <c r="E524" s="3"/>
    </row>
    <row r="525">
      <c r="A525" s="1"/>
      <c r="B525" s="1"/>
      <c r="C525" s="1"/>
      <c r="D525" s="1"/>
      <c r="E525" s="3"/>
    </row>
    <row r="526">
      <c r="A526" s="1"/>
      <c r="B526" s="1"/>
      <c r="C526" s="1"/>
      <c r="D526" s="1"/>
      <c r="E526" s="3"/>
    </row>
    <row r="527">
      <c r="A527" s="1"/>
      <c r="B527" s="1"/>
      <c r="C527" s="1"/>
      <c r="D527" s="1"/>
      <c r="E527" s="3"/>
    </row>
    <row r="528">
      <c r="A528" s="1"/>
      <c r="B528" s="1"/>
      <c r="C528" s="1"/>
      <c r="D528" s="1"/>
      <c r="E528" s="3"/>
    </row>
    <row r="529">
      <c r="A529" s="1"/>
      <c r="B529" s="1"/>
      <c r="C529" s="1"/>
      <c r="D529" s="1"/>
      <c r="E529" s="3"/>
    </row>
    <row r="530">
      <c r="A530" s="1"/>
      <c r="B530" s="1"/>
      <c r="C530" s="1"/>
      <c r="D530" s="1"/>
      <c r="E530" s="3"/>
    </row>
    <row r="531">
      <c r="A531" s="1"/>
      <c r="B531" s="1"/>
      <c r="C531" s="1"/>
      <c r="D531" s="1"/>
      <c r="E531" s="3"/>
    </row>
    <row r="532">
      <c r="A532" s="1"/>
      <c r="B532" s="1"/>
      <c r="C532" s="1"/>
      <c r="D532" s="1"/>
      <c r="E532" s="3"/>
    </row>
    <row r="533">
      <c r="A533" s="1"/>
      <c r="B533" s="1"/>
      <c r="C533" s="1"/>
      <c r="D533" s="1"/>
      <c r="E533" s="3"/>
    </row>
    <row r="534">
      <c r="A534" s="1"/>
      <c r="B534" s="1"/>
      <c r="C534" s="1"/>
      <c r="D534" s="1"/>
      <c r="E534" s="3"/>
    </row>
    <row r="535">
      <c r="A535" s="1"/>
      <c r="B535" s="1"/>
      <c r="C535" s="1"/>
      <c r="D535" s="1"/>
      <c r="E535" s="3"/>
    </row>
    <row r="536">
      <c r="A536" s="1"/>
      <c r="B536" s="1"/>
      <c r="C536" s="1"/>
      <c r="D536" s="1"/>
      <c r="E536" s="3"/>
    </row>
    <row r="537">
      <c r="A537" s="1"/>
      <c r="B537" s="1"/>
      <c r="C537" s="1"/>
      <c r="D537" s="1"/>
      <c r="E537" s="3"/>
    </row>
    <row r="538">
      <c r="A538" s="1"/>
      <c r="B538" s="1"/>
      <c r="C538" s="1"/>
      <c r="D538" s="1"/>
      <c r="E538" s="3"/>
    </row>
    <row r="539">
      <c r="A539" s="1"/>
      <c r="B539" s="1"/>
      <c r="C539" s="1"/>
      <c r="D539" s="1"/>
      <c r="E539" s="3"/>
    </row>
    <row r="540">
      <c r="A540" s="1"/>
      <c r="B540" s="1"/>
      <c r="C540" s="1"/>
      <c r="D540" s="1"/>
      <c r="E540" s="3"/>
    </row>
    <row r="541">
      <c r="A541" s="1"/>
      <c r="B541" s="1"/>
      <c r="C541" s="1"/>
      <c r="D541" s="1"/>
      <c r="E541" s="3"/>
    </row>
    <row r="542">
      <c r="A542" s="1"/>
      <c r="B542" s="1"/>
      <c r="C542" s="1"/>
      <c r="D542" s="1"/>
      <c r="E542" s="3"/>
    </row>
    <row r="543">
      <c r="A543" s="1"/>
      <c r="B543" s="1"/>
      <c r="C543" s="1"/>
      <c r="D543" s="1"/>
      <c r="E543" s="3"/>
    </row>
    <row r="544">
      <c r="A544" s="1"/>
      <c r="B544" s="1"/>
      <c r="C544" s="1"/>
      <c r="D544" s="1"/>
      <c r="E544" s="3"/>
    </row>
    <row r="545">
      <c r="A545" s="1"/>
      <c r="B545" s="1"/>
      <c r="C545" s="1"/>
      <c r="D545" s="1"/>
      <c r="E545" s="3"/>
    </row>
    <row r="546">
      <c r="A546" s="1"/>
      <c r="B546" s="1"/>
      <c r="C546" s="1"/>
      <c r="D546" s="1"/>
      <c r="E546" s="3"/>
    </row>
    <row r="547">
      <c r="A547" s="1"/>
      <c r="B547" s="1"/>
      <c r="C547" s="1"/>
      <c r="D547" s="1"/>
      <c r="E547" s="3"/>
    </row>
    <row r="548">
      <c r="A548" s="1"/>
      <c r="B548" s="1"/>
      <c r="C548" s="1"/>
      <c r="D548" s="1"/>
      <c r="E548" s="3"/>
    </row>
    <row r="549">
      <c r="A549" s="1"/>
      <c r="B549" s="1"/>
      <c r="C549" s="1"/>
      <c r="D549" s="1"/>
      <c r="E549" s="3"/>
    </row>
    <row r="550">
      <c r="A550" s="1"/>
      <c r="B550" s="1"/>
      <c r="C550" s="1"/>
      <c r="D550" s="1"/>
      <c r="E550" s="3"/>
    </row>
    <row r="551">
      <c r="A551" s="1"/>
      <c r="B551" s="1"/>
      <c r="C551" s="1"/>
      <c r="D551" s="1"/>
      <c r="E551" s="3"/>
    </row>
    <row r="552">
      <c r="A552" s="1"/>
      <c r="B552" s="1"/>
      <c r="C552" s="1"/>
      <c r="D552" s="1"/>
      <c r="E552" s="3"/>
    </row>
    <row r="553">
      <c r="A553" s="1"/>
      <c r="B553" s="1"/>
      <c r="C553" s="1"/>
      <c r="D553" s="1"/>
      <c r="E553" s="3"/>
    </row>
    <row r="554">
      <c r="A554" s="1"/>
      <c r="B554" s="1"/>
      <c r="C554" s="1"/>
      <c r="D554" s="1"/>
      <c r="E554" s="3"/>
    </row>
    <row r="555">
      <c r="A555" s="1"/>
      <c r="B555" s="1"/>
      <c r="C555" s="1"/>
      <c r="D555" s="1"/>
      <c r="E555" s="3"/>
    </row>
    <row r="556">
      <c r="A556" s="1"/>
      <c r="B556" s="1"/>
      <c r="C556" s="1"/>
      <c r="D556" s="1"/>
      <c r="E556" s="3"/>
    </row>
    <row r="557">
      <c r="A557" s="1"/>
      <c r="B557" s="1"/>
      <c r="C557" s="1"/>
      <c r="D557" s="1"/>
      <c r="E557" s="3"/>
    </row>
    <row r="558">
      <c r="A558" s="1"/>
      <c r="B558" s="1"/>
      <c r="C558" s="1"/>
      <c r="D558" s="1"/>
      <c r="E558" s="3"/>
    </row>
    <row r="559">
      <c r="A559" s="1"/>
      <c r="B559" s="1"/>
      <c r="C559" s="1"/>
      <c r="D559" s="1"/>
      <c r="E559" s="3"/>
    </row>
    <row r="560">
      <c r="A560" s="1"/>
      <c r="B560" s="1"/>
      <c r="C560" s="1"/>
      <c r="D560" s="1"/>
      <c r="E560" s="3"/>
    </row>
    <row r="561">
      <c r="A561" s="1"/>
      <c r="B561" s="1"/>
      <c r="C561" s="1"/>
      <c r="D561" s="1"/>
      <c r="E561" s="3"/>
    </row>
    <row r="562">
      <c r="A562" s="1"/>
      <c r="B562" s="1"/>
      <c r="C562" s="1"/>
      <c r="D562" s="1"/>
      <c r="E562" s="3"/>
    </row>
    <row r="563">
      <c r="A563" s="1"/>
      <c r="B563" s="1"/>
      <c r="C563" s="1"/>
      <c r="D563" s="1"/>
      <c r="E563" s="3"/>
    </row>
    <row r="564">
      <c r="A564" s="1"/>
      <c r="B564" s="1"/>
      <c r="C564" s="1"/>
      <c r="D564" s="1"/>
      <c r="E564" s="3"/>
    </row>
    <row r="565">
      <c r="A565" s="1"/>
      <c r="B565" s="1"/>
      <c r="C565" s="1"/>
      <c r="D565" s="1"/>
      <c r="E565" s="3"/>
    </row>
    <row r="566">
      <c r="A566" s="1"/>
      <c r="B566" s="1"/>
      <c r="C566" s="1"/>
      <c r="D566" s="1"/>
      <c r="E566" s="3"/>
    </row>
    <row r="567">
      <c r="A567" s="1"/>
      <c r="B567" s="1"/>
      <c r="C567" s="1"/>
      <c r="D567" s="1"/>
      <c r="E567" s="3"/>
    </row>
    <row r="568">
      <c r="A568" s="1"/>
      <c r="B568" s="1"/>
      <c r="C568" s="1"/>
      <c r="D568" s="1"/>
      <c r="E568" s="3"/>
    </row>
    <row r="569">
      <c r="A569" s="1"/>
      <c r="B569" s="1"/>
      <c r="C569" s="1"/>
      <c r="D569" s="1"/>
      <c r="E569" s="3"/>
    </row>
    <row r="570">
      <c r="A570" s="1"/>
      <c r="B570" s="1"/>
      <c r="C570" s="1"/>
      <c r="D570" s="1"/>
      <c r="E570" s="3"/>
    </row>
    <row r="571">
      <c r="A571" s="1"/>
      <c r="B571" s="1"/>
      <c r="C571" s="1"/>
      <c r="D571" s="1"/>
      <c r="E571" s="3"/>
    </row>
    <row r="572">
      <c r="A572" s="1"/>
      <c r="B572" s="1"/>
      <c r="C572" s="1"/>
      <c r="D572" s="1"/>
      <c r="E572" s="3"/>
    </row>
    <row r="573">
      <c r="A573" s="1"/>
      <c r="B573" s="1"/>
      <c r="C573" s="1"/>
      <c r="D573" s="1"/>
      <c r="E573" s="3"/>
    </row>
    <row r="574">
      <c r="A574" s="1"/>
      <c r="B574" s="1"/>
      <c r="C574" s="1"/>
      <c r="D574" s="1"/>
      <c r="E574" s="3"/>
    </row>
    <row r="575">
      <c r="A575" s="1"/>
      <c r="B575" s="1"/>
      <c r="C575" s="1"/>
      <c r="D575" s="1"/>
      <c r="E575" s="3"/>
    </row>
    <row r="576">
      <c r="A576" s="1"/>
      <c r="B576" s="1"/>
      <c r="C576" s="1"/>
      <c r="D576" s="1"/>
      <c r="E576" s="3"/>
    </row>
    <row r="577">
      <c r="A577" s="1"/>
      <c r="B577" s="1"/>
      <c r="C577" s="1"/>
      <c r="D577" s="1"/>
      <c r="E577" s="3"/>
    </row>
    <row r="578">
      <c r="A578" s="1"/>
      <c r="B578" s="1"/>
      <c r="C578" s="1"/>
      <c r="D578" s="1"/>
      <c r="E578" s="3"/>
    </row>
    <row r="579">
      <c r="A579" s="1"/>
      <c r="B579" s="1"/>
      <c r="C579" s="1"/>
      <c r="D579" s="1"/>
      <c r="E579" s="3"/>
    </row>
    <row r="580">
      <c r="A580" s="1"/>
      <c r="B580" s="1"/>
      <c r="C580" s="1"/>
      <c r="D580" s="1"/>
      <c r="E580" s="3"/>
    </row>
    <row r="581">
      <c r="A581" s="1"/>
      <c r="B581" s="1"/>
      <c r="C581" s="1"/>
      <c r="D581" s="1"/>
      <c r="E581" s="3"/>
    </row>
    <row r="582">
      <c r="A582" s="1"/>
      <c r="B582" s="1"/>
      <c r="C582" s="1"/>
      <c r="D582" s="1"/>
      <c r="E582" s="3"/>
    </row>
    <row r="583">
      <c r="A583" s="1"/>
      <c r="B583" s="1"/>
      <c r="C583" s="1"/>
      <c r="D583" s="1"/>
      <c r="E583" s="3"/>
    </row>
    <row r="584">
      <c r="A584" s="1"/>
      <c r="B584" s="1"/>
      <c r="C584" s="1"/>
      <c r="D584" s="1"/>
      <c r="E584" s="3"/>
    </row>
    <row r="585">
      <c r="A585" s="1"/>
      <c r="B585" s="1"/>
      <c r="C585" s="1"/>
      <c r="D585" s="1"/>
      <c r="E585" s="3"/>
    </row>
    <row r="586">
      <c r="A586" s="1"/>
      <c r="B586" s="1"/>
      <c r="C586" s="1"/>
      <c r="D586" s="1"/>
      <c r="E586" s="3"/>
    </row>
    <row r="587">
      <c r="A587" s="1"/>
      <c r="B587" s="1"/>
      <c r="C587" s="1"/>
      <c r="D587" s="1"/>
      <c r="E587" s="3"/>
    </row>
    <row r="588">
      <c r="A588" s="1"/>
      <c r="B588" s="1"/>
      <c r="C588" s="1"/>
      <c r="D588" s="1"/>
      <c r="E588" s="3"/>
    </row>
    <row r="589">
      <c r="A589" s="1"/>
      <c r="B589" s="1"/>
      <c r="C589" s="1"/>
      <c r="D589" s="1"/>
      <c r="E589" s="3"/>
    </row>
    <row r="590">
      <c r="A590" s="1"/>
      <c r="B590" s="1"/>
      <c r="C590" s="1"/>
      <c r="D590" s="1"/>
      <c r="E590" s="3"/>
    </row>
    <row r="591">
      <c r="A591" s="1"/>
      <c r="B591" s="1"/>
      <c r="C591" s="1"/>
      <c r="D591" s="1"/>
      <c r="E591" s="3"/>
    </row>
    <row r="592">
      <c r="A592" s="1"/>
      <c r="B592" s="1"/>
      <c r="C592" s="1"/>
      <c r="D592" s="1"/>
      <c r="E592" s="3"/>
    </row>
    <row r="593">
      <c r="A593" s="1"/>
      <c r="B593" s="1"/>
      <c r="C593" s="1"/>
      <c r="D593" s="1"/>
      <c r="E593" s="3"/>
    </row>
    <row r="594">
      <c r="A594" s="1"/>
      <c r="B594" s="1"/>
      <c r="C594" s="1"/>
      <c r="D594" s="1"/>
      <c r="E594" s="3"/>
    </row>
    <row r="595">
      <c r="A595" s="1"/>
      <c r="B595" s="1"/>
      <c r="C595" s="1"/>
      <c r="D595" s="1"/>
      <c r="E595" s="3"/>
    </row>
    <row r="596">
      <c r="A596" s="1"/>
      <c r="B596" s="1"/>
      <c r="C596" s="1"/>
      <c r="D596" s="1"/>
      <c r="E596" s="3"/>
    </row>
    <row r="597">
      <c r="A597" s="1"/>
      <c r="B597" s="1"/>
      <c r="C597" s="1"/>
      <c r="D597" s="1"/>
      <c r="E597" s="3"/>
    </row>
    <row r="598">
      <c r="A598" s="1"/>
      <c r="B598" s="1"/>
      <c r="C598" s="1"/>
      <c r="D598" s="1"/>
      <c r="E598" s="3"/>
    </row>
    <row r="599">
      <c r="A599" s="1"/>
      <c r="B599" s="1"/>
      <c r="C599" s="1"/>
      <c r="D599" s="1"/>
      <c r="E599" s="3"/>
    </row>
    <row r="600">
      <c r="A600" s="1"/>
      <c r="B600" s="1"/>
      <c r="C600" s="1"/>
      <c r="D600" s="1"/>
      <c r="E600" s="3"/>
    </row>
    <row r="601">
      <c r="A601" s="1"/>
      <c r="B601" s="1"/>
      <c r="C601" s="1"/>
      <c r="D601" s="1"/>
      <c r="E601" s="3"/>
    </row>
    <row r="602">
      <c r="A602" s="1"/>
      <c r="B602" s="1"/>
      <c r="C602" s="1"/>
      <c r="D602" s="1"/>
      <c r="E602" s="3"/>
    </row>
    <row r="603">
      <c r="A603" s="1"/>
      <c r="B603" s="1"/>
      <c r="C603" s="1"/>
      <c r="D603" s="1"/>
      <c r="E603" s="3"/>
    </row>
    <row r="604">
      <c r="A604" s="1"/>
      <c r="B604" s="1"/>
      <c r="C604" s="1"/>
      <c r="D604" s="1"/>
      <c r="E604" s="3"/>
    </row>
    <row r="605">
      <c r="A605" s="1"/>
      <c r="B605" s="1"/>
      <c r="C605" s="1"/>
      <c r="D605" s="1"/>
      <c r="E605" s="3"/>
    </row>
    <row r="606">
      <c r="A606" s="1"/>
      <c r="B606" s="1"/>
      <c r="C606" s="1"/>
      <c r="D606" s="1"/>
      <c r="E606" s="3"/>
    </row>
    <row r="607">
      <c r="A607" s="1"/>
      <c r="B607" s="1"/>
      <c r="C607" s="1"/>
      <c r="D607" s="1"/>
      <c r="E607" s="3"/>
    </row>
    <row r="608">
      <c r="A608" s="1"/>
      <c r="B608" s="1"/>
      <c r="C608" s="1"/>
      <c r="D608" s="1"/>
      <c r="E608" s="3"/>
    </row>
    <row r="609">
      <c r="A609" s="1"/>
      <c r="B609" s="1"/>
      <c r="C609" s="1"/>
      <c r="D609" s="1"/>
      <c r="E609" s="3"/>
    </row>
    <row r="610">
      <c r="A610" s="1"/>
      <c r="B610" s="1"/>
      <c r="C610" s="1"/>
      <c r="D610" s="1"/>
      <c r="E610" s="3"/>
    </row>
    <row r="611">
      <c r="A611" s="1"/>
      <c r="B611" s="1"/>
      <c r="C611" s="1"/>
      <c r="D611" s="1"/>
      <c r="E611" s="3"/>
    </row>
    <row r="612">
      <c r="A612" s="1"/>
      <c r="B612" s="1"/>
      <c r="C612" s="1"/>
      <c r="D612" s="1"/>
      <c r="E612" s="3"/>
    </row>
    <row r="613">
      <c r="A613" s="1"/>
      <c r="B613" s="1"/>
      <c r="C613" s="1"/>
      <c r="D613" s="1"/>
      <c r="E613" s="3"/>
    </row>
    <row r="614">
      <c r="A614" s="1"/>
      <c r="B614" s="1"/>
      <c r="C614" s="1"/>
      <c r="D614" s="1"/>
      <c r="E614" s="3"/>
    </row>
    <row r="615">
      <c r="A615" s="1"/>
      <c r="B615" s="1"/>
      <c r="C615" s="1"/>
      <c r="D615" s="1"/>
      <c r="E615" s="3"/>
    </row>
    <row r="616">
      <c r="A616" s="1"/>
      <c r="B616" s="1"/>
      <c r="C616" s="1"/>
      <c r="D616" s="1"/>
      <c r="E616" s="3"/>
    </row>
    <row r="617">
      <c r="A617" s="1"/>
      <c r="B617" s="1"/>
      <c r="C617" s="1"/>
      <c r="D617" s="1"/>
      <c r="E617" s="3"/>
    </row>
    <row r="618">
      <c r="A618" s="1"/>
      <c r="B618" s="1"/>
      <c r="C618" s="1"/>
      <c r="D618" s="1"/>
      <c r="E618" s="3"/>
    </row>
    <row r="619">
      <c r="A619" s="1"/>
      <c r="B619" s="1"/>
      <c r="C619" s="1"/>
      <c r="D619" s="1"/>
      <c r="E619" s="3"/>
    </row>
    <row r="620">
      <c r="A620" s="1"/>
      <c r="B620" s="1"/>
      <c r="C620" s="1"/>
      <c r="D620" s="1"/>
      <c r="E620" s="3"/>
    </row>
    <row r="621">
      <c r="A621" s="1"/>
      <c r="B621" s="1"/>
      <c r="C621" s="1"/>
      <c r="D621" s="1"/>
      <c r="E621" s="3"/>
    </row>
    <row r="622">
      <c r="A622" s="1"/>
      <c r="B622" s="1"/>
      <c r="C622" s="1"/>
      <c r="D622" s="1"/>
      <c r="E622" s="3"/>
    </row>
    <row r="623">
      <c r="A623" s="1"/>
      <c r="B623" s="1"/>
      <c r="C623" s="1"/>
      <c r="D623" s="1"/>
      <c r="E623" s="3"/>
    </row>
    <row r="624">
      <c r="A624" s="1"/>
      <c r="B624" s="1"/>
      <c r="C624" s="1"/>
      <c r="D624" s="1"/>
      <c r="E624" s="3"/>
    </row>
    <row r="625">
      <c r="A625" s="1"/>
      <c r="B625" s="1"/>
      <c r="C625" s="1"/>
      <c r="D625" s="1"/>
      <c r="E625" s="3"/>
    </row>
    <row r="626">
      <c r="A626" s="1"/>
      <c r="B626" s="1"/>
      <c r="C626" s="1"/>
      <c r="D626" s="1"/>
      <c r="E626" s="3"/>
    </row>
    <row r="627">
      <c r="A627" s="1"/>
      <c r="B627" s="1"/>
      <c r="C627" s="1"/>
      <c r="D627" s="1"/>
      <c r="E627" s="3"/>
    </row>
    <row r="628">
      <c r="A628" s="1"/>
      <c r="B628" s="1"/>
      <c r="C628" s="1"/>
      <c r="D628" s="1"/>
      <c r="E628" s="3"/>
    </row>
    <row r="629">
      <c r="A629" s="1"/>
      <c r="B629" s="1"/>
      <c r="C629" s="1"/>
      <c r="D629" s="1"/>
      <c r="E629" s="3"/>
    </row>
    <row r="630">
      <c r="A630" s="1"/>
      <c r="B630" s="1"/>
      <c r="C630" s="1"/>
      <c r="D630" s="1"/>
      <c r="E630" s="3"/>
    </row>
    <row r="631">
      <c r="A631" s="1"/>
      <c r="B631" s="1"/>
      <c r="C631" s="1"/>
      <c r="D631" s="1"/>
      <c r="E631" s="3"/>
    </row>
    <row r="632">
      <c r="A632" s="1"/>
      <c r="B632" s="1"/>
      <c r="C632" s="1"/>
      <c r="D632" s="1"/>
      <c r="E632" s="3"/>
    </row>
    <row r="633">
      <c r="A633" s="1"/>
      <c r="B633" s="1"/>
      <c r="C633" s="1"/>
      <c r="D633" s="1"/>
      <c r="E633" s="3"/>
    </row>
    <row r="634">
      <c r="A634" s="1"/>
      <c r="B634" s="1"/>
      <c r="C634" s="1"/>
      <c r="D634" s="1"/>
      <c r="E634" s="3"/>
    </row>
    <row r="635">
      <c r="A635" s="1"/>
      <c r="B635" s="1"/>
      <c r="C635" s="1"/>
      <c r="D635" s="1"/>
      <c r="E635" s="3"/>
    </row>
    <row r="636">
      <c r="A636" s="1"/>
      <c r="B636" s="1"/>
      <c r="C636" s="1"/>
      <c r="D636" s="1"/>
      <c r="E636" s="3"/>
    </row>
    <row r="637">
      <c r="A637" s="1"/>
      <c r="B637" s="1"/>
      <c r="C637" s="1"/>
      <c r="D637" s="1"/>
      <c r="E637" s="3"/>
    </row>
    <row r="638">
      <c r="A638" s="1"/>
      <c r="B638" s="1"/>
      <c r="C638" s="1"/>
      <c r="D638" s="1"/>
      <c r="E638" s="3"/>
    </row>
    <row r="639">
      <c r="A639" s="1"/>
      <c r="B639" s="1"/>
      <c r="C639" s="1"/>
      <c r="D639" s="1"/>
      <c r="E639" s="3"/>
    </row>
    <row r="640">
      <c r="A640" s="1"/>
      <c r="B640" s="1"/>
      <c r="C640" s="1"/>
      <c r="D640" s="1"/>
      <c r="E640" s="3"/>
    </row>
    <row r="641">
      <c r="A641" s="1"/>
      <c r="B641" s="1"/>
      <c r="C641" s="1"/>
      <c r="D641" s="1"/>
      <c r="E641" s="3"/>
    </row>
    <row r="642">
      <c r="A642" s="1"/>
      <c r="B642" s="1"/>
      <c r="C642" s="1"/>
      <c r="D642" s="1"/>
      <c r="E642" s="3"/>
    </row>
    <row r="643">
      <c r="A643" s="1"/>
      <c r="B643" s="1"/>
      <c r="C643" s="1"/>
      <c r="D643" s="1"/>
      <c r="E643" s="3"/>
    </row>
    <row r="644">
      <c r="A644" s="1"/>
      <c r="B644" s="1"/>
      <c r="C644" s="1"/>
      <c r="D644" s="1"/>
      <c r="E644" s="3"/>
    </row>
    <row r="645">
      <c r="A645" s="1"/>
      <c r="B645" s="1"/>
      <c r="C645" s="1"/>
      <c r="D645" s="1"/>
      <c r="E645" s="3"/>
    </row>
    <row r="646">
      <c r="A646" s="1"/>
      <c r="B646" s="1"/>
      <c r="C646" s="1"/>
      <c r="D646" s="1"/>
      <c r="E646" s="3"/>
    </row>
    <row r="647">
      <c r="A647" s="1"/>
      <c r="B647" s="1"/>
      <c r="C647" s="1"/>
      <c r="D647" s="1"/>
      <c r="E647" s="3"/>
    </row>
    <row r="648">
      <c r="A648" s="1"/>
      <c r="B648" s="1"/>
      <c r="C648" s="1"/>
      <c r="D648" s="1"/>
      <c r="E648" s="3"/>
    </row>
    <row r="649">
      <c r="A649" s="1"/>
      <c r="B649" s="1"/>
      <c r="C649" s="1"/>
      <c r="D649" s="1"/>
      <c r="E649" s="3"/>
    </row>
    <row r="650">
      <c r="A650" s="1"/>
      <c r="B650" s="1"/>
      <c r="C650" s="1"/>
      <c r="D650" s="1"/>
      <c r="E650" s="3"/>
    </row>
    <row r="651">
      <c r="A651" s="1"/>
      <c r="B651" s="1"/>
      <c r="C651" s="1"/>
      <c r="D651" s="1"/>
      <c r="E651" s="3"/>
    </row>
    <row r="652">
      <c r="A652" s="1"/>
      <c r="B652" s="1"/>
      <c r="C652" s="1"/>
      <c r="D652" s="1"/>
      <c r="E652" s="3"/>
    </row>
    <row r="653">
      <c r="A653" s="1"/>
      <c r="B653" s="1"/>
      <c r="C653" s="1"/>
      <c r="D653" s="1"/>
      <c r="E653" s="3"/>
    </row>
    <row r="654">
      <c r="A654" s="1"/>
      <c r="B654" s="1"/>
      <c r="C654" s="1"/>
      <c r="D654" s="1"/>
      <c r="E654" s="3"/>
    </row>
    <row r="655">
      <c r="A655" s="1"/>
      <c r="B655" s="1"/>
      <c r="C655" s="1"/>
      <c r="D655" s="1"/>
      <c r="E655" s="3"/>
    </row>
    <row r="656">
      <c r="A656" s="1"/>
      <c r="B656" s="1"/>
      <c r="C656" s="1"/>
      <c r="D656" s="1"/>
      <c r="E656" s="3"/>
    </row>
    <row r="657">
      <c r="A657" s="1"/>
      <c r="B657" s="1"/>
      <c r="C657" s="1"/>
      <c r="D657" s="1"/>
      <c r="E657" s="3"/>
    </row>
    <row r="658">
      <c r="A658" s="1"/>
      <c r="B658" s="1"/>
      <c r="C658" s="1"/>
      <c r="D658" s="1"/>
      <c r="E658" s="3"/>
    </row>
    <row r="659">
      <c r="A659" s="1"/>
      <c r="B659" s="1"/>
      <c r="C659" s="1"/>
      <c r="D659" s="1"/>
      <c r="E659" s="3"/>
    </row>
    <row r="660">
      <c r="A660" s="1"/>
      <c r="B660" s="1"/>
      <c r="C660" s="1"/>
      <c r="D660" s="1"/>
      <c r="E660" s="3"/>
    </row>
    <row r="661">
      <c r="A661" s="1"/>
      <c r="B661" s="1"/>
      <c r="C661" s="1"/>
      <c r="D661" s="1"/>
      <c r="E661" s="3"/>
    </row>
    <row r="662">
      <c r="A662" s="1"/>
      <c r="B662" s="1"/>
      <c r="C662" s="1"/>
      <c r="D662" s="1"/>
      <c r="E662" s="3"/>
    </row>
    <row r="663">
      <c r="A663" s="1"/>
      <c r="B663" s="1"/>
      <c r="C663" s="1"/>
      <c r="D663" s="1"/>
      <c r="E663" s="3"/>
    </row>
    <row r="664">
      <c r="A664" s="1"/>
      <c r="B664" s="1"/>
      <c r="C664" s="1"/>
      <c r="D664" s="1"/>
      <c r="E664" s="3"/>
    </row>
    <row r="665">
      <c r="A665" s="1"/>
      <c r="B665" s="1"/>
      <c r="C665" s="1"/>
      <c r="D665" s="1"/>
      <c r="E665" s="3"/>
    </row>
    <row r="666">
      <c r="A666" s="1"/>
      <c r="B666" s="1"/>
      <c r="C666" s="1"/>
      <c r="D666" s="1"/>
      <c r="E666" s="3"/>
    </row>
    <row r="667">
      <c r="A667" s="1"/>
      <c r="B667" s="1"/>
      <c r="C667" s="1"/>
      <c r="D667" s="1"/>
      <c r="E667" s="3"/>
    </row>
    <row r="668">
      <c r="A668" s="1"/>
      <c r="B668" s="1"/>
      <c r="C668" s="1"/>
      <c r="D668" s="1"/>
      <c r="E668" s="3"/>
    </row>
    <row r="669">
      <c r="A669" s="1"/>
      <c r="B669" s="1"/>
      <c r="C669" s="1"/>
      <c r="D669" s="1"/>
      <c r="E669" s="3"/>
    </row>
    <row r="670">
      <c r="A670" s="1"/>
      <c r="B670" s="1"/>
      <c r="C670" s="1"/>
      <c r="D670" s="1"/>
      <c r="E670" s="3"/>
    </row>
    <row r="671">
      <c r="A671" s="1"/>
      <c r="B671" s="1"/>
      <c r="C671" s="1"/>
      <c r="D671" s="1"/>
      <c r="E671" s="3"/>
    </row>
    <row r="672">
      <c r="A672" s="1"/>
      <c r="B672" s="1"/>
      <c r="C672" s="1"/>
      <c r="D672" s="1"/>
      <c r="E672" s="3"/>
    </row>
    <row r="673">
      <c r="A673" s="1"/>
      <c r="B673" s="1"/>
      <c r="C673" s="1"/>
      <c r="D673" s="1"/>
      <c r="E673" s="3"/>
    </row>
    <row r="674">
      <c r="A674" s="1"/>
      <c r="B674" s="1"/>
      <c r="C674" s="1"/>
      <c r="D674" s="1"/>
      <c r="E674" s="3"/>
    </row>
    <row r="675">
      <c r="A675" s="1"/>
      <c r="B675" s="1"/>
      <c r="C675" s="1"/>
      <c r="D675" s="1"/>
      <c r="E675" s="3"/>
    </row>
    <row r="676">
      <c r="A676" s="1"/>
      <c r="B676" s="1"/>
      <c r="C676" s="1"/>
      <c r="D676" s="1"/>
      <c r="E676" s="3"/>
    </row>
    <row r="677">
      <c r="A677" s="1"/>
      <c r="B677" s="1"/>
      <c r="C677" s="1"/>
      <c r="D677" s="1"/>
      <c r="E677" s="3"/>
    </row>
    <row r="678">
      <c r="A678" s="1"/>
      <c r="B678" s="1"/>
      <c r="C678" s="1"/>
      <c r="D678" s="1"/>
      <c r="E678" s="3"/>
    </row>
    <row r="679">
      <c r="A679" s="1"/>
      <c r="B679" s="1"/>
      <c r="C679" s="1"/>
      <c r="D679" s="1"/>
      <c r="E679" s="3"/>
    </row>
    <row r="680">
      <c r="A680" s="1"/>
      <c r="B680" s="1"/>
      <c r="C680" s="1"/>
      <c r="D680" s="1"/>
      <c r="E680" s="3"/>
    </row>
    <row r="681">
      <c r="A681" s="1"/>
      <c r="B681" s="1"/>
      <c r="C681" s="1"/>
      <c r="D681" s="1"/>
      <c r="E681" s="3"/>
    </row>
    <row r="682">
      <c r="A682" s="1"/>
      <c r="B682" s="1"/>
      <c r="C682" s="1"/>
      <c r="D682" s="1"/>
      <c r="E682" s="3"/>
    </row>
    <row r="683">
      <c r="A683" s="1"/>
      <c r="B683" s="1"/>
      <c r="C683" s="1"/>
      <c r="D683" s="1"/>
      <c r="E683" s="3"/>
    </row>
    <row r="684">
      <c r="A684" s="1"/>
      <c r="B684" s="1"/>
      <c r="C684" s="1"/>
      <c r="D684" s="1"/>
      <c r="E684" s="3"/>
    </row>
    <row r="685">
      <c r="A685" s="1"/>
      <c r="B685" s="1"/>
      <c r="C685" s="1"/>
      <c r="D685" s="1"/>
      <c r="E685" s="3"/>
    </row>
    <row r="686">
      <c r="A686" s="1"/>
      <c r="B686" s="1"/>
      <c r="C686" s="1"/>
      <c r="D686" s="1"/>
      <c r="E686" s="3"/>
    </row>
    <row r="687">
      <c r="A687" s="1"/>
      <c r="B687" s="1"/>
      <c r="C687" s="1"/>
      <c r="D687" s="1"/>
      <c r="E687" s="3"/>
    </row>
    <row r="688">
      <c r="A688" s="1"/>
      <c r="B688" s="1"/>
      <c r="C688" s="1"/>
      <c r="D688" s="1"/>
      <c r="E688" s="3"/>
    </row>
    <row r="689">
      <c r="A689" s="1"/>
      <c r="B689" s="1"/>
      <c r="C689" s="1"/>
      <c r="D689" s="1"/>
      <c r="E689" s="3"/>
    </row>
    <row r="690">
      <c r="A690" s="1"/>
      <c r="B690" s="1"/>
      <c r="C690" s="1"/>
      <c r="D690" s="1"/>
      <c r="E690" s="3"/>
    </row>
    <row r="691">
      <c r="A691" s="1"/>
      <c r="B691" s="1"/>
      <c r="C691" s="1"/>
      <c r="D691" s="1"/>
      <c r="E691" s="3"/>
    </row>
    <row r="692">
      <c r="A692" s="1"/>
      <c r="B692" s="1"/>
      <c r="C692" s="1"/>
      <c r="D692" s="1"/>
      <c r="E692" s="3"/>
    </row>
    <row r="693">
      <c r="A693" s="1"/>
      <c r="B693" s="1"/>
      <c r="C693" s="1"/>
      <c r="D693" s="1"/>
      <c r="E693" s="3"/>
    </row>
    <row r="694">
      <c r="A694" s="1"/>
      <c r="B694" s="1"/>
      <c r="C694" s="1"/>
      <c r="D694" s="1"/>
      <c r="E694" s="3"/>
    </row>
    <row r="695">
      <c r="A695" s="1"/>
      <c r="B695" s="1"/>
      <c r="C695" s="1"/>
      <c r="D695" s="1"/>
      <c r="E695" s="3"/>
    </row>
    <row r="696">
      <c r="A696" s="1"/>
      <c r="B696" s="1"/>
      <c r="C696" s="1"/>
      <c r="D696" s="1"/>
      <c r="E696" s="3"/>
    </row>
    <row r="697">
      <c r="A697" s="1"/>
      <c r="B697" s="1"/>
      <c r="C697" s="1"/>
      <c r="D697" s="1"/>
      <c r="E697" s="3"/>
    </row>
    <row r="698">
      <c r="A698" s="1"/>
      <c r="B698" s="1"/>
      <c r="C698" s="1"/>
      <c r="D698" s="1"/>
      <c r="E698" s="3"/>
    </row>
    <row r="699">
      <c r="A699" s="1"/>
      <c r="B699" s="1"/>
      <c r="C699" s="1"/>
      <c r="D699" s="1"/>
      <c r="E699" s="3"/>
    </row>
    <row r="700">
      <c r="A700" s="1"/>
      <c r="B700" s="1"/>
      <c r="C700" s="1"/>
      <c r="D700" s="1"/>
      <c r="E700" s="3"/>
    </row>
    <row r="701">
      <c r="A701" s="1"/>
      <c r="B701" s="1"/>
      <c r="C701" s="1"/>
      <c r="D701" s="1"/>
      <c r="E701" s="3"/>
    </row>
    <row r="702">
      <c r="A702" s="1"/>
      <c r="B702" s="1"/>
      <c r="C702" s="1"/>
      <c r="D702" s="1"/>
      <c r="E702" s="3"/>
    </row>
    <row r="703">
      <c r="A703" s="1"/>
      <c r="B703" s="1"/>
      <c r="C703" s="1"/>
      <c r="D703" s="1"/>
      <c r="E703" s="3"/>
    </row>
    <row r="704">
      <c r="A704" s="1"/>
      <c r="B704" s="1"/>
      <c r="C704" s="1"/>
      <c r="D704" s="1"/>
      <c r="E704" s="3"/>
    </row>
    <row r="705">
      <c r="A705" s="1"/>
      <c r="B705" s="1"/>
      <c r="C705" s="1"/>
      <c r="D705" s="1"/>
      <c r="E705" s="3"/>
    </row>
    <row r="706">
      <c r="A706" s="1"/>
      <c r="B706" s="1"/>
      <c r="C706" s="1"/>
      <c r="D706" s="1"/>
      <c r="E706" s="3"/>
    </row>
    <row r="707">
      <c r="A707" s="1"/>
      <c r="B707" s="1"/>
      <c r="C707" s="1"/>
      <c r="D707" s="1"/>
      <c r="E707" s="3"/>
    </row>
    <row r="708">
      <c r="A708" s="1"/>
      <c r="B708" s="1"/>
      <c r="C708" s="1"/>
      <c r="D708" s="1"/>
      <c r="E708" s="3"/>
    </row>
    <row r="709">
      <c r="A709" s="1"/>
      <c r="B709" s="1"/>
      <c r="C709" s="1"/>
      <c r="D709" s="1"/>
      <c r="E709" s="3"/>
    </row>
    <row r="710">
      <c r="A710" s="1"/>
      <c r="B710" s="1"/>
      <c r="C710" s="1"/>
      <c r="D710" s="1"/>
      <c r="E710" s="3"/>
    </row>
    <row r="711">
      <c r="A711" s="1"/>
      <c r="B711" s="1"/>
      <c r="C711" s="1"/>
      <c r="D711" s="1"/>
      <c r="E711" s="3"/>
    </row>
    <row r="712">
      <c r="A712" s="1"/>
      <c r="B712" s="1"/>
      <c r="C712" s="1"/>
      <c r="D712" s="1"/>
      <c r="E712" s="3"/>
    </row>
    <row r="713">
      <c r="A713" s="1"/>
      <c r="B713" s="1"/>
      <c r="C713" s="1"/>
      <c r="D713" s="1"/>
      <c r="E713" s="3"/>
    </row>
    <row r="714">
      <c r="A714" s="1"/>
      <c r="B714" s="1"/>
      <c r="C714" s="1"/>
      <c r="D714" s="1"/>
      <c r="E714" s="3"/>
    </row>
    <row r="715">
      <c r="A715" s="1"/>
      <c r="B715" s="1"/>
      <c r="C715" s="1"/>
      <c r="D715" s="1"/>
      <c r="E715" s="3"/>
    </row>
    <row r="716">
      <c r="A716" s="1"/>
      <c r="B716" s="1"/>
      <c r="C716" s="1"/>
      <c r="D716" s="1"/>
      <c r="E716" s="3"/>
    </row>
    <row r="717">
      <c r="A717" s="1"/>
      <c r="B717" s="1"/>
      <c r="C717" s="1"/>
      <c r="D717" s="1"/>
      <c r="E717" s="3"/>
    </row>
    <row r="718">
      <c r="A718" s="1"/>
      <c r="B718" s="1"/>
      <c r="C718" s="1"/>
      <c r="D718" s="1"/>
      <c r="E718" s="3"/>
    </row>
    <row r="719">
      <c r="A719" s="1"/>
      <c r="B719" s="1"/>
      <c r="C719" s="1"/>
      <c r="D719" s="1"/>
      <c r="E719" s="3"/>
    </row>
    <row r="720">
      <c r="A720" s="1"/>
      <c r="B720" s="1"/>
      <c r="C720" s="1"/>
      <c r="D720" s="1"/>
      <c r="E720" s="3"/>
    </row>
    <row r="721">
      <c r="A721" s="1"/>
      <c r="B721" s="1"/>
      <c r="C721" s="1"/>
      <c r="D721" s="1"/>
      <c r="E721" s="3"/>
    </row>
    <row r="722">
      <c r="A722" s="1"/>
      <c r="B722" s="1"/>
      <c r="C722" s="1"/>
      <c r="D722" s="1"/>
      <c r="E722" s="3"/>
    </row>
    <row r="723">
      <c r="A723" s="1"/>
      <c r="B723" s="1"/>
      <c r="C723" s="1"/>
      <c r="D723" s="1"/>
      <c r="E723" s="3"/>
    </row>
    <row r="724">
      <c r="A724" s="1"/>
      <c r="B724" s="1"/>
      <c r="C724" s="1"/>
      <c r="D724" s="1"/>
      <c r="E724" s="3"/>
    </row>
    <row r="725">
      <c r="A725" s="1"/>
      <c r="B725" s="1"/>
      <c r="C725" s="1"/>
      <c r="D725" s="1"/>
      <c r="E725" s="3"/>
    </row>
    <row r="726">
      <c r="A726" s="1"/>
      <c r="B726" s="1"/>
      <c r="C726" s="1"/>
      <c r="D726" s="1"/>
      <c r="E726" s="3"/>
    </row>
    <row r="727">
      <c r="A727" s="1"/>
      <c r="B727" s="1"/>
      <c r="C727" s="1"/>
      <c r="D727" s="1"/>
      <c r="E727" s="3"/>
    </row>
    <row r="728">
      <c r="A728" s="1"/>
      <c r="B728" s="1"/>
      <c r="C728" s="1"/>
      <c r="D728" s="1"/>
      <c r="E728" s="3"/>
    </row>
    <row r="729">
      <c r="A729" s="1"/>
      <c r="B729" s="1"/>
      <c r="C729" s="1"/>
      <c r="D729" s="1"/>
      <c r="E729" s="3"/>
    </row>
    <row r="730">
      <c r="A730" s="1"/>
      <c r="B730" s="1"/>
      <c r="C730" s="1"/>
      <c r="D730" s="1"/>
      <c r="E730" s="3"/>
    </row>
    <row r="731">
      <c r="A731" s="1"/>
      <c r="B731" s="1"/>
      <c r="C731" s="1"/>
      <c r="D731" s="1"/>
      <c r="E731" s="3"/>
    </row>
    <row r="732">
      <c r="A732" s="1"/>
      <c r="B732" s="1"/>
      <c r="C732" s="1"/>
      <c r="D732" s="1"/>
      <c r="E732" s="3"/>
    </row>
    <row r="733">
      <c r="A733" s="1"/>
      <c r="B733" s="1"/>
      <c r="C733" s="1"/>
      <c r="D733" s="1"/>
      <c r="E733" s="3"/>
    </row>
    <row r="734">
      <c r="A734" s="1"/>
      <c r="B734" s="1"/>
      <c r="C734" s="1"/>
      <c r="D734" s="1"/>
      <c r="E734" s="3"/>
    </row>
    <row r="735">
      <c r="A735" s="1"/>
      <c r="B735" s="1"/>
      <c r="C735" s="1"/>
      <c r="D735" s="1"/>
      <c r="E735" s="3"/>
    </row>
    <row r="736">
      <c r="A736" s="1"/>
      <c r="B736" s="1"/>
      <c r="C736" s="1"/>
      <c r="D736" s="1"/>
      <c r="E736" s="3"/>
    </row>
    <row r="737">
      <c r="A737" s="1"/>
      <c r="B737" s="1"/>
      <c r="C737" s="1"/>
      <c r="D737" s="1"/>
      <c r="E737" s="3"/>
    </row>
    <row r="738">
      <c r="A738" s="1"/>
      <c r="B738" s="1"/>
      <c r="C738" s="1"/>
      <c r="D738" s="1"/>
      <c r="E738" s="3"/>
    </row>
    <row r="739">
      <c r="A739" s="1"/>
      <c r="B739" s="1"/>
      <c r="C739" s="1"/>
      <c r="D739" s="1"/>
      <c r="E739" s="3"/>
    </row>
    <row r="740">
      <c r="A740" s="1"/>
      <c r="B740" s="1"/>
      <c r="C740" s="1"/>
      <c r="D740" s="1"/>
      <c r="E740" s="3"/>
    </row>
    <row r="741">
      <c r="A741" s="1"/>
      <c r="B741" s="1"/>
      <c r="C741" s="1"/>
      <c r="D741" s="1"/>
      <c r="E741" s="3"/>
    </row>
    <row r="742">
      <c r="A742" s="1"/>
      <c r="B742" s="1"/>
      <c r="C742" s="1"/>
      <c r="D742" s="1"/>
      <c r="E742" s="3"/>
    </row>
    <row r="743">
      <c r="A743" s="1"/>
      <c r="B743" s="1"/>
      <c r="C743" s="1"/>
      <c r="D743" s="1"/>
      <c r="E743" s="3"/>
    </row>
    <row r="744">
      <c r="A744" s="1"/>
      <c r="B744" s="1"/>
      <c r="C744" s="1"/>
      <c r="D744" s="1"/>
      <c r="E744" s="3"/>
    </row>
    <row r="745">
      <c r="A745" s="1"/>
      <c r="B745" s="1"/>
      <c r="C745" s="1"/>
      <c r="D745" s="1"/>
      <c r="E745" s="3"/>
    </row>
    <row r="746">
      <c r="A746" s="1"/>
      <c r="B746" s="1"/>
      <c r="C746" s="1"/>
      <c r="D746" s="1"/>
      <c r="E746" s="3"/>
    </row>
    <row r="747">
      <c r="A747" s="1"/>
      <c r="B747" s="1"/>
      <c r="C747" s="1"/>
      <c r="D747" s="1"/>
      <c r="E747" s="3"/>
    </row>
    <row r="748">
      <c r="A748" s="1"/>
      <c r="B748" s="1"/>
      <c r="C748" s="1"/>
      <c r="D748" s="1"/>
      <c r="E748" s="3"/>
    </row>
    <row r="749">
      <c r="A749" s="1"/>
      <c r="B749" s="1"/>
      <c r="C749" s="1"/>
      <c r="D749" s="1"/>
      <c r="E749" s="3"/>
    </row>
    <row r="750">
      <c r="A750" s="1"/>
      <c r="B750" s="1"/>
      <c r="C750" s="1"/>
      <c r="D750" s="1"/>
      <c r="E750" s="3"/>
    </row>
    <row r="751">
      <c r="A751" s="1"/>
      <c r="B751" s="1"/>
      <c r="C751" s="1"/>
      <c r="D751" s="1"/>
      <c r="E751" s="3"/>
    </row>
    <row r="752">
      <c r="A752" s="1"/>
      <c r="B752" s="1"/>
      <c r="C752" s="1"/>
      <c r="D752" s="1"/>
      <c r="E752" s="3"/>
    </row>
    <row r="753">
      <c r="A753" s="1"/>
      <c r="B753" s="1"/>
      <c r="C753" s="1"/>
      <c r="D753" s="1"/>
      <c r="E753" s="3"/>
    </row>
    <row r="754">
      <c r="A754" s="1"/>
      <c r="B754" s="1"/>
      <c r="C754" s="1"/>
      <c r="D754" s="1"/>
      <c r="E754" s="3"/>
    </row>
    <row r="755">
      <c r="A755" s="1"/>
      <c r="B755" s="1"/>
      <c r="C755" s="1"/>
      <c r="D755" s="1"/>
      <c r="E755" s="3"/>
    </row>
    <row r="756">
      <c r="A756" s="1"/>
      <c r="B756" s="1"/>
      <c r="C756" s="1"/>
      <c r="D756" s="1"/>
      <c r="E756" s="3"/>
    </row>
    <row r="757">
      <c r="A757" s="1"/>
      <c r="B757" s="1"/>
      <c r="C757" s="1"/>
      <c r="D757" s="1"/>
      <c r="E757" s="3"/>
    </row>
    <row r="758">
      <c r="A758" s="1"/>
      <c r="B758" s="1"/>
      <c r="C758" s="1"/>
      <c r="D758" s="1"/>
      <c r="E758" s="3"/>
    </row>
    <row r="759">
      <c r="A759" s="1"/>
      <c r="B759" s="1"/>
      <c r="C759" s="1"/>
      <c r="D759" s="1"/>
      <c r="E759" s="3"/>
    </row>
    <row r="760">
      <c r="A760" s="1"/>
      <c r="B760" s="1"/>
      <c r="C760" s="1"/>
      <c r="D760" s="1"/>
      <c r="E760" s="3"/>
    </row>
    <row r="761">
      <c r="A761" s="1"/>
      <c r="B761" s="1"/>
      <c r="C761" s="1"/>
      <c r="D761" s="1"/>
      <c r="E761" s="3"/>
    </row>
    <row r="762">
      <c r="A762" s="1"/>
      <c r="B762" s="1"/>
      <c r="C762" s="1"/>
      <c r="D762" s="1"/>
      <c r="E762" s="3"/>
    </row>
    <row r="763">
      <c r="A763" s="1"/>
      <c r="B763" s="1"/>
      <c r="C763" s="1"/>
      <c r="D763" s="1"/>
      <c r="E763" s="3"/>
    </row>
    <row r="764">
      <c r="A764" s="1"/>
      <c r="B764" s="1"/>
      <c r="C764" s="1"/>
      <c r="D764" s="1"/>
      <c r="E764" s="3"/>
    </row>
    <row r="765">
      <c r="A765" s="1"/>
      <c r="B765" s="1"/>
      <c r="C765" s="1"/>
      <c r="D765" s="1"/>
      <c r="E765" s="3"/>
    </row>
    <row r="766">
      <c r="A766" s="1"/>
      <c r="B766" s="1"/>
      <c r="C766" s="1"/>
      <c r="D766" s="1"/>
      <c r="E766" s="3"/>
    </row>
    <row r="767">
      <c r="A767" s="1"/>
      <c r="B767" s="1"/>
      <c r="C767" s="1"/>
      <c r="D767" s="1"/>
      <c r="E767" s="3"/>
    </row>
    <row r="768">
      <c r="A768" s="1"/>
      <c r="B768" s="1"/>
      <c r="C768" s="1"/>
      <c r="D768" s="1"/>
      <c r="E768" s="3"/>
    </row>
    <row r="769">
      <c r="A769" s="1"/>
      <c r="B769" s="1"/>
      <c r="C769" s="1"/>
      <c r="D769" s="1"/>
      <c r="E769" s="3"/>
    </row>
    <row r="770">
      <c r="A770" s="1"/>
      <c r="B770" s="1"/>
      <c r="C770" s="1"/>
      <c r="D770" s="1"/>
      <c r="E770" s="3"/>
    </row>
    <row r="771">
      <c r="A771" s="1"/>
      <c r="B771" s="1"/>
      <c r="C771" s="1"/>
      <c r="D771" s="1"/>
      <c r="E771" s="3"/>
    </row>
    <row r="772">
      <c r="A772" s="1"/>
      <c r="B772" s="1"/>
      <c r="C772" s="1"/>
      <c r="D772" s="1"/>
      <c r="E772" s="3"/>
    </row>
    <row r="773">
      <c r="A773" s="1"/>
      <c r="B773" s="1"/>
      <c r="C773" s="1"/>
      <c r="D773" s="1"/>
      <c r="E773" s="3"/>
    </row>
    <row r="774">
      <c r="A774" s="1"/>
      <c r="B774" s="1"/>
      <c r="C774" s="1"/>
      <c r="D774" s="1"/>
      <c r="E774" s="3"/>
    </row>
    <row r="775">
      <c r="A775" s="1"/>
      <c r="B775" s="1"/>
      <c r="C775" s="1"/>
      <c r="D775" s="1"/>
      <c r="E775" s="3"/>
    </row>
    <row r="776">
      <c r="A776" s="1"/>
      <c r="B776" s="1"/>
      <c r="C776" s="1"/>
      <c r="D776" s="1"/>
      <c r="E776" s="3"/>
    </row>
    <row r="777">
      <c r="A777" s="1"/>
      <c r="B777" s="1"/>
      <c r="C777" s="1"/>
      <c r="D777" s="1"/>
      <c r="E777" s="3"/>
    </row>
    <row r="778">
      <c r="A778" s="1"/>
      <c r="B778" s="1"/>
      <c r="C778" s="1"/>
      <c r="D778" s="1"/>
      <c r="E778" s="3"/>
    </row>
    <row r="779">
      <c r="A779" s="1"/>
      <c r="B779" s="1"/>
      <c r="C779" s="1"/>
      <c r="D779" s="1"/>
      <c r="E779" s="3"/>
    </row>
    <row r="780">
      <c r="A780" s="1"/>
      <c r="B780" s="1"/>
      <c r="C780" s="1"/>
      <c r="D780" s="1"/>
      <c r="E780" s="3"/>
    </row>
    <row r="781">
      <c r="A781" s="1"/>
      <c r="B781" s="1"/>
      <c r="C781" s="1"/>
      <c r="D781" s="1"/>
      <c r="E781" s="3"/>
    </row>
    <row r="782">
      <c r="A782" s="1"/>
      <c r="B782" s="1"/>
      <c r="C782" s="1"/>
      <c r="D782" s="1"/>
      <c r="E782" s="3"/>
    </row>
    <row r="783">
      <c r="A783" s="1"/>
      <c r="B783" s="1"/>
      <c r="C783" s="1"/>
      <c r="D783" s="1"/>
      <c r="E783" s="3"/>
    </row>
    <row r="784">
      <c r="A784" s="1"/>
      <c r="B784" s="1"/>
      <c r="C784" s="1"/>
      <c r="D784" s="1"/>
      <c r="E784" s="3"/>
    </row>
    <row r="785">
      <c r="A785" s="1"/>
      <c r="B785" s="1"/>
      <c r="C785" s="1"/>
      <c r="D785" s="1"/>
      <c r="E785" s="3"/>
    </row>
    <row r="786">
      <c r="A786" s="1"/>
      <c r="B786" s="1"/>
      <c r="C786" s="1"/>
      <c r="D786" s="1"/>
      <c r="E786" s="3"/>
    </row>
    <row r="787">
      <c r="A787" s="1"/>
      <c r="B787" s="1"/>
      <c r="C787" s="1"/>
      <c r="D787" s="1"/>
      <c r="E787" s="3"/>
    </row>
    <row r="788">
      <c r="A788" s="1"/>
      <c r="B788" s="1"/>
      <c r="C788" s="1"/>
      <c r="D788" s="1"/>
      <c r="E788" s="3"/>
    </row>
    <row r="789">
      <c r="A789" s="1"/>
      <c r="B789" s="1"/>
      <c r="C789" s="1"/>
      <c r="D789" s="1"/>
      <c r="E789" s="3"/>
    </row>
    <row r="790">
      <c r="A790" s="1"/>
      <c r="B790" s="1"/>
      <c r="C790" s="1"/>
      <c r="D790" s="1"/>
      <c r="E790" s="3"/>
    </row>
    <row r="791">
      <c r="A791" s="1"/>
      <c r="B791" s="1"/>
      <c r="C791" s="1"/>
      <c r="D791" s="1"/>
      <c r="E791" s="3"/>
    </row>
    <row r="792">
      <c r="A792" s="1"/>
      <c r="B792" s="1"/>
      <c r="C792" s="1"/>
      <c r="D792" s="1"/>
      <c r="E792" s="3"/>
    </row>
    <row r="793">
      <c r="A793" s="1"/>
      <c r="B793" s="1"/>
      <c r="C793" s="1"/>
      <c r="D793" s="1"/>
      <c r="E793" s="3"/>
    </row>
    <row r="794">
      <c r="A794" s="1"/>
      <c r="B794" s="1"/>
      <c r="C794" s="1"/>
      <c r="D794" s="1"/>
      <c r="E794" s="3"/>
    </row>
    <row r="795">
      <c r="A795" s="1"/>
      <c r="B795" s="1"/>
      <c r="C795" s="1"/>
      <c r="D795" s="1"/>
      <c r="E795" s="3"/>
    </row>
    <row r="796">
      <c r="A796" s="1"/>
      <c r="B796" s="1"/>
      <c r="C796" s="1"/>
      <c r="D796" s="1"/>
      <c r="E796" s="3"/>
    </row>
    <row r="797">
      <c r="A797" s="1"/>
      <c r="B797" s="1"/>
      <c r="C797" s="1"/>
      <c r="D797" s="1"/>
      <c r="E797" s="3"/>
    </row>
    <row r="798">
      <c r="A798" s="1"/>
      <c r="B798" s="1"/>
      <c r="C798" s="1"/>
      <c r="D798" s="1"/>
      <c r="E798" s="3"/>
    </row>
    <row r="799">
      <c r="A799" s="1"/>
      <c r="B799" s="1"/>
      <c r="C799" s="1"/>
      <c r="D799" s="1"/>
      <c r="E799" s="3"/>
    </row>
    <row r="800">
      <c r="A800" s="1"/>
      <c r="B800" s="1"/>
      <c r="C800" s="1"/>
      <c r="D800" s="1"/>
      <c r="E800" s="3"/>
    </row>
    <row r="801">
      <c r="A801" s="1"/>
      <c r="B801" s="1"/>
      <c r="C801" s="1"/>
      <c r="D801" s="1"/>
      <c r="E801" s="3"/>
    </row>
    <row r="802">
      <c r="A802" s="1"/>
      <c r="B802" s="1"/>
      <c r="C802" s="1"/>
      <c r="D802" s="1"/>
      <c r="E802" s="3"/>
    </row>
    <row r="803">
      <c r="A803" s="1"/>
      <c r="B803" s="1"/>
      <c r="C803" s="1"/>
      <c r="D803" s="1"/>
      <c r="E803" s="3"/>
    </row>
    <row r="804">
      <c r="A804" s="1"/>
      <c r="B804" s="1"/>
      <c r="C804" s="1"/>
      <c r="D804" s="1"/>
      <c r="E804" s="3"/>
    </row>
    <row r="805">
      <c r="A805" s="1"/>
      <c r="B805" s="1"/>
      <c r="C805" s="1"/>
      <c r="D805" s="1"/>
      <c r="E805" s="3"/>
    </row>
    <row r="806">
      <c r="A806" s="1"/>
      <c r="B806" s="1"/>
      <c r="C806" s="1"/>
      <c r="D806" s="1"/>
      <c r="E806" s="3"/>
    </row>
    <row r="807">
      <c r="A807" s="1"/>
      <c r="B807" s="1"/>
      <c r="C807" s="1"/>
      <c r="D807" s="1"/>
      <c r="E807" s="3"/>
    </row>
    <row r="808">
      <c r="A808" s="1"/>
      <c r="B808" s="1"/>
      <c r="C808" s="1"/>
      <c r="D808" s="1"/>
      <c r="E808" s="3"/>
    </row>
    <row r="809">
      <c r="A809" s="1"/>
      <c r="B809" s="1"/>
      <c r="C809" s="1"/>
      <c r="D809" s="1"/>
      <c r="E809" s="3"/>
    </row>
    <row r="810">
      <c r="A810" s="1"/>
      <c r="B810" s="1"/>
      <c r="C810" s="1"/>
      <c r="D810" s="1"/>
      <c r="E810" s="3"/>
    </row>
    <row r="811">
      <c r="A811" s="1"/>
      <c r="B811" s="1"/>
      <c r="C811" s="1"/>
      <c r="D811" s="1"/>
      <c r="E811" s="3"/>
    </row>
    <row r="812">
      <c r="A812" s="1"/>
      <c r="B812" s="1"/>
      <c r="C812" s="1"/>
      <c r="D812" s="1"/>
      <c r="E812" s="3"/>
    </row>
    <row r="813">
      <c r="A813" s="1"/>
      <c r="B813" s="1"/>
      <c r="C813" s="1"/>
      <c r="D813" s="1"/>
      <c r="E813" s="3"/>
    </row>
    <row r="814">
      <c r="A814" s="1"/>
      <c r="B814" s="1"/>
      <c r="C814" s="1"/>
      <c r="D814" s="1"/>
      <c r="E814" s="3"/>
    </row>
    <row r="815">
      <c r="A815" s="1"/>
      <c r="B815" s="1"/>
      <c r="C815" s="1"/>
      <c r="D815" s="1"/>
      <c r="E815" s="3"/>
    </row>
    <row r="816">
      <c r="A816" s="1"/>
      <c r="B816" s="1"/>
      <c r="C816" s="1"/>
      <c r="D816" s="1"/>
      <c r="E816" s="3"/>
    </row>
    <row r="817">
      <c r="A817" s="1"/>
      <c r="B817" s="1"/>
      <c r="C817" s="1"/>
      <c r="D817" s="1"/>
      <c r="E817" s="3"/>
    </row>
    <row r="818">
      <c r="A818" s="1"/>
      <c r="B818" s="1"/>
      <c r="C818" s="1"/>
      <c r="D818" s="1"/>
      <c r="E818" s="3"/>
    </row>
    <row r="819">
      <c r="A819" s="1"/>
      <c r="B819" s="1"/>
      <c r="C819" s="1"/>
      <c r="D819" s="1"/>
      <c r="E819" s="3"/>
    </row>
    <row r="820">
      <c r="A820" s="1"/>
      <c r="B820" s="1"/>
      <c r="C820" s="1"/>
      <c r="D820" s="1"/>
      <c r="E820" s="3"/>
    </row>
    <row r="821">
      <c r="A821" s="1"/>
      <c r="B821" s="1"/>
      <c r="C821" s="1"/>
      <c r="D821" s="1"/>
      <c r="E821" s="3"/>
    </row>
    <row r="822">
      <c r="A822" s="1"/>
      <c r="B822" s="1"/>
      <c r="C822" s="1"/>
      <c r="D822" s="1"/>
      <c r="E822" s="3"/>
    </row>
    <row r="823">
      <c r="A823" s="1"/>
      <c r="B823" s="1"/>
      <c r="C823" s="1"/>
      <c r="D823" s="1"/>
      <c r="E823" s="3"/>
    </row>
    <row r="824">
      <c r="A824" s="1"/>
      <c r="B824" s="1"/>
      <c r="C824" s="1"/>
      <c r="D824" s="1"/>
      <c r="E824" s="3"/>
    </row>
    <row r="825">
      <c r="A825" s="1"/>
      <c r="B825" s="1"/>
      <c r="C825" s="1"/>
      <c r="D825" s="1"/>
      <c r="E825" s="3"/>
    </row>
    <row r="826">
      <c r="A826" s="1"/>
      <c r="B826" s="1"/>
      <c r="C826" s="1"/>
      <c r="D826" s="1"/>
      <c r="E826" s="3"/>
    </row>
    <row r="827">
      <c r="A827" s="1"/>
      <c r="B827" s="1"/>
      <c r="C827" s="1"/>
      <c r="D827" s="1"/>
      <c r="E827" s="3"/>
    </row>
    <row r="828">
      <c r="A828" s="1"/>
      <c r="B828" s="1"/>
      <c r="C828" s="1"/>
      <c r="D828" s="1"/>
      <c r="E828" s="3"/>
    </row>
    <row r="829">
      <c r="A829" s="1"/>
      <c r="B829" s="1"/>
      <c r="C829" s="1"/>
      <c r="D829" s="1"/>
      <c r="E829" s="3"/>
    </row>
    <row r="830">
      <c r="A830" s="1"/>
      <c r="B830" s="1"/>
      <c r="C830" s="1"/>
      <c r="D830" s="1"/>
      <c r="E830" s="3"/>
    </row>
    <row r="831">
      <c r="A831" s="1"/>
      <c r="B831" s="1"/>
      <c r="C831" s="1"/>
      <c r="D831" s="1"/>
      <c r="E831" s="3"/>
    </row>
    <row r="832">
      <c r="A832" s="1"/>
      <c r="B832" s="1"/>
      <c r="C832" s="1"/>
      <c r="D832" s="1"/>
      <c r="E832" s="3"/>
    </row>
    <row r="833">
      <c r="A833" s="1"/>
      <c r="B833" s="1"/>
      <c r="C833" s="1"/>
      <c r="D833" s="1"/>
      <c r="E833" s="3"/>
    </row>
    <row r="834">
      <c r="A834" s="1"/>
      <c r="B834" s="1"/>
      <c r="C834" s="1"/>
      <c r="D834" s="1"/>
      <c r="E834" s="3"/>
    </row>
    <row r="835">
      <c r="A835" s="1"/>
      <c r="B835" s="1"/>
      <c r="C835" s="1"/>
      <c r="D835" s="1"/>
      <c r="E835" s="3"/>
    </row>
    <row r="836">
      <c r="A836" s="1"/>
      <c r="B836" s="1"/>
      <c r="C836" s="1"/>
      <c r="D836" s="1"/>
      <c r="E836" s="3"/>
    </row>
    <row r="837">
      <c r="A837" s="1"/>
      <c r="B837" s="1"/>
      <c r="C837" s="1"/>
      <c r="D837" s="1"/>
      <c r="E837" s="3"/>
    </row>
    <row r="838">
      <c r="A838" s="1"/>
      <c r="B838" s="1"/>
      <c r="C838" s="1"/>
      <c r="D838" s="1"/>
      <c r="E838" s="3"/>
    </row>
    <row r="839">
      <c r="A839" s="1"/>
      <c r="B839" s="1"/>
      <c r="C839" s="1"/>
      <c r="D839" s="1"/>
      <c r="E839" s="3"/>
    </row>
    <row r="840">
      <c r="A840" s="1"/>
      <c r="B840" s="1"/>
      <c r="C840" s="1"/>
      <c r="D840" s="1"/>
      <c r="E840" s="3"/>
    </row>
    <row r="841">
      <c r="A841" s="1"/>
      <c r="B841" s="1"/>
      <c r="C841" s="1"/>
      <c r="D841" s="1"/>
      <c r="E841" s="3"/>
    </row>
    <row r="842">
      <c r="A842" s="1"/>
      <c r="B842" s="1"/>
      <c r="C842" s="1"/>
      <c r="D842" s="1"/>
      <c r="E842" s="3"/>
    </row>
    <row r="843">
      <c r="A843" s="1"/>
      <c r="B843" s="1"/>
      <c r="C843" s="1"/>
      <c r="D843" s="1"/>
      <c r="E843" s="3"/>
    </row>
    <row r="844">
      <c r="A844" s="1"/>
      <c r="B844" s="1"/>
      <c r="C844" s="1"/>
      <c r="D844" s="1"/>
      <c r="E844" s="3"/>
    </row>
    <row r="845">
      <c r="A845" s="1"/>
      <c r="B845" s="1"/>
      <c r="C845" s="1"/>
      <c r="D845" s="1"/>
      <c r="E845" s="3"/>
    </row>
    <row r="846">
      <c r="A846" s="1"/>
      <c r="B846" s="1"/>
      <c r="C846" s="1"/>
      <c r="D846" s="1"/>
      <c r="E846" s="3"/>
    </row>
    <row r="847">
      <c r="A847" s="1"/>
      <c r="B847" s="1"/>
      <c r="C847" s="1"/>
      <c r="D847" s="1"/>
      <c r="E847" s="3"/>
    </row>
    <row r="848">
      <c r="A848" s="1"/>
      <c r="B848" s="1"/>
      <c r="C848" s="1"/>
      <c r="D848" s="1"/>
      <c r="E848" s="3"/>
    </row>
    <row r="849">
      <c r="A849" s="1"/>
      <c r="B849" s="1"/>
      <c r="C849" s="1"/>
      <c r="D849" s="1"/>
      <c r="E849" s="3"/>
    </row>
    <row r="850">
      <c r="A850" s="1"/>
      <c r="B850" s="1"/>
      <c r="C850" s="1"/>
      <c r="D850" s="1"/>
      <c r="E850" s="3"/>
    </row>
    <row r="851">
      <c r="A851" s="1"/>
      <c r="B851" s="1"/>
      <c r="C851" s="1"/>
      <c r="D851" s="1"/>
      <c r="E851" s="3"/>
    </row>
    <row r="852">
      <c r="A852" s="1"/>
      <c r="B852" s="1"/>
      <c r="C852" s="1"/>
      <c r="D852" s="1"/>
      <c r="E852" s="3"/>
    </row>
    <row r="853">
      <c r="A853" s="1"/>
      <c r="B853" s="1"/>
      <c r="C853" s="1"/>
      <c r="D853" s="1"/>
      <c r="E853" s="3"/>
    </row>
    <row r="854">
      <c r="A854" s="1"/>
      <c r="B854" s="1"/>
      <c r="C854" s="1"/>
      <c r="D854" s="1"/>
      <c r="E854" s="3"/>
    </row>
    <row r="855">
      <c r="A855" s="1"/>
      <c r="B855" s="1"/>
      <c r="C855" s="1"/>
      <c r="D855" s="1"/>
      <c r="E855" s="3"/>
    </row>
    <row r="856">
      <c r="A856" s="1"/>
      <c r="B856" s="1"/>
      <c r="C856" s="1"/>
      <c r="D856" s="1"/>
      <c r="E856" s="3"/>
    </row>
    <row r="857">
      <c r="A857" s="1"/>
      <c r="B857" s="1"/>
      <c r="C857" s="1"/>
      <c r="D857" s="1"/>
      <c r="E857" s="3"/>
    </row>
    <row r="858">
      <c r="A858" s="1"/>
      <c r="B858" s="1"/>
      <c r="C858" s="1"/>
      <c r="D858" s="1"/>
      <c r="E858" s="3"/>
    </row>
    <row r="859">
      <c r="A859" s="1"/>
      <c r="B859" s="1"/>
      <c r="C859" s="1"/>
      <c r="D859" s="1"/>
      <c r="E859" s="3"/>
    </row>
    <row r="860">
      <c r="A860" s="1"/>
      <c r="B860" s="1"/>
      <c r="C860" s="1"/>
      <c r="D860" s="1"/>
      <c r="E860" s="3"/>
    </row>
    <row r="861">
      <c r="A861" s="1"/>
      <c r="B861" s="1"/>
      <c r="C861" s="1"/>
      <c r="D861" s="1"/>
      <c r="E861" s="3"/>
    </row>
    <row r="862">
      <c r="A862" s="1"/>
      <c r="B862" s="1"/>
      <c r="C862" s="1"/>
      <c r="D862" s="1"/>
      <c r="E862" s="3"/>
    </row>
    <row r="863">
      <c r="A863" s="1"/>
      <c r="B863" s="1"/>
      <c r="C863" s="1"/>
      <c r="D863" s="1"/>
      <c r="E863" s="3"/>
    </row>
    <row r="864">
      <c r="A864" s="1"/>
      <c r="B864" s="1"/>
      <c r="C864" s="1"/>
      <c r="D864" s="1"/>
      <c r="E864" s="3"/>
    </row>
    <row r="865">
      <c r="A865" s="1"/>
      <c r="B865" s="1"/>
      <c r="C865" s="1"/>
      <c r="D865" s="1"/>
      <c r="E865" s="3"/>
    </row>
    <row r="866">
      <c r="A866" s="1"/>
      <c r="B866" s="1"/>
      <c r="C866" s="1"/>
      <c r="D866" s="1"/>
      <c r="E866" s="3"/>
    </row>
    <row r="867">
      <c r="A867" s="1"/>
      <c r="B867" s="1"/>
      <c r="C867" s="1"/>
      <c r="D867" s="1"/>
      <c r="E867" s="3"/>
    </row>
    <row r="868">
      <c r="A868" s="1"/>
      <c r="B868" s="1"/>
      <c r="C868" s="1"/>
      <c r="D868" s="1"/>
      <c r="E868" s="3"/>
    </row>
    <row r="869">
      <c r="A869" s="1"/>
      <c r="B869" s="1"/>
      <c r="C869" s="1"/>
      <c r="D869" s="1"/>
      <c r="E869" s="3"/>
    </row>
    <row r="870">
      <c r="A870" s="1"/>
      <c r="B870" s="1"/>
      <c r="C870" s="1"/>
      <c r="D870" s="1"/>
      <c r="E870" s="3"/>
    </row>
    <row r="871">
      <c r="A871" s="1"/>
      <c r="B871" s="1"/>
      <c r="C871" s="1"/>
      <c r="D871" s="1"/>
      <c r="E871" s="3"/>
    </row>
    <row r="872">
      <c r="A872" s="1"/>
      <c r="B872" s="1"/>
      <c r="C872" s="1"/>
      <c r="D872" s="1"/>
      <c r="E872" s="3"/>
    </row>
    <row r="873">
      <c r="A873" s="1"/>
      <c r="B873" s="1"/>
      <c r="C873" s="1"/>
      <c r="D873" s="1"/>
      <c r="E873" s="3"/>
    </row>
    <row r="874">
      <c r="A874" s="1"/>
      <c r="B874" s="1"/>
      <c r="C874" s="1"/>
      <c r="D874" s="1"/>
      <c r="E874" s="3"/>
    </row>
    <row r="875">
      <c r="A875" s="1"/>
      <c r="B875" s="1"/>
      <c r="C875" s="1"/>
      <c r="D875" s="1"/>
      <c r="E875" s="3"/>
    </row>
    <row r="876">
      <c r="A876" s="1"/>
      <c r="B876" s="1"/>
      <c r="C876" s="1"/>
      <c r="D876" s="1"/>
      <c r="E876" s="3"/>
    </row>
    <row r="877">
      <c r="A877" s="1"/>
      <c r="B877" s="1"/>
      <c r="C877" s="1"/>
      <c r="D877" s="1"/>
      <c r="E877" s="3"/>
    </row>
    <row r="878">
      <c r="A878" s="1"/>
      <c r="B878" s="1"/>
      <c r="C878" s="1"/>
      <c r="D878" s="1"/>
      <c r="E878" s="3"/>
    </row>
    <row r="879">
      <c r="A879" s="1"/>
      <c r="B879" s="1"/>
      <c r="C879" s="1"/>
      <c r="D879" s="1"/>
      <c r="E879" s="3"/>
    </row>
    <row r="880">
      <c r="A880" s="1"/>
      <c r="B880" s="1"/>
      <c r="C880" s="1"/>
      <c r="D880" s="1"/>
      <c r="E880" s="3"/>
    </row>
    <row r="881">
      <c r="A881" s="1"/>
      <c r="B881" s="1"/>
      <c r="C881" s="1"/>
      <c r="D881" s="1"/>
      <c r="E881" s="3"/>
    </row>
    <row r="882">
      <c r="A882" s="1"/>
      <c r="B882" s="1"/>
      <c r="C882" s="1"/>
      <c r="D882" s="1"/>
      <c r="E882" s="3"/>
    </row>
    <row r="883">
      <c r="A883" s="1"/>
      <c r="B883" s="1"/>
      <c r="C883" s="1"/>
      <c r="D883" s="1"/>
      <c r="E883" s="3"/>
    </row>
    <row r="884">
      <c r="A884" s="1"/>
      <c r="B884" s="1"/>
      <c r="C884" s="1"/>
      <c r="D884" s="1"/>
      <c r="E884" s="3"/>
    </row>
    <row r="885">
      <c r="A885" s="1"/>
      <c r="B885" s="1"/>
      <c r="C885" s="1"/>
      <c r="D885" s="1"/>
      <c r="E885" s="3"/>
    </row>
    <row r="886">
      <c r="A886" s="1"/>
      <c r="B886" s="1"/>
      <c r="C886" s="1"/>
      <c r="D886" s="1"/>
      <c r="E886" s="3"/>
    </row>
    <row r="887">
      <c r="A887" s="1"/>
      <c r="B887" s="1"/>
      <c r="C887" s="1"/>
      <c r="D887" s="1"/>
      <c r="E887" s="3"/>
    </row>
    <row r="888">
      <c r="A888" s="1"/>
      <c r="B888" s="1"/>
      <c r="C888" s="1"/>
      <c r="D888" s="1"/>
      <c r="E888" s="3"/>
    </row>
    <row r="889">
      <c r="A889" s="1"/>
      <c r="B889" s="1"/>
      <c r="C889" s="1"/>
      <c r="D889" s="1"/>
      <c r="E889" s="3"/>
    </row>
    <row r="890">
      <c r="A890" s="1"/>
      <c r="B890" s="1"/>
      <c r="C890" s="1"/>
      <c r="D890" s="1"/>
      <c r="E890" s="3"/>
    </row>
    <row r="891">
      <c r="A891" s="1"/>
      <c r="B891" s="1"/>
      <c r="C891" s="1"/>
      <c r="D891" s="1"/>
      <c r="E891" s="3"/>
    </row>
    <row r="892">
      <c r="A892" s="1"/>
      <c r="B892" s="1"/>
      <c r="C892" s="1"/>
      <c r="D892" s="1"/>
      <c r="E892" s="3"/>
    </row>
    <row r="893">
      <c r="A893" s="1"/>
      <c r="B893" s="1"/>
      <c r="C893" s="1"/>
      <c r="D893" s="1"/>
      <c r="E893" s="3"/>
    </row>
    <row r="894">
      <c r="A894" s="1"/>
      <c r="B894" s="1"/>
      <c r="C894" s="1"/>
      <c r="D894" s="1"/>
      <c r="E894" s="3"/>
    </row>
    <row r="895">
      <c r="A895" s="1"/>
      <c r="B895" s="1"/>
      <c r="C895" s="1"/>
      <c r="D895" s="1"/>
      <c r="E895" s="3"/>
    </row>
    <row r="896">
      <c r="A896" s="1"/>
      <c r="B896" s="1"/>
      <c r="C896" s="1"/>
      <c r="D896" s="1"/>
      <c r="E896" s="3"/>
    </row>
    <row r="897">
      <c r="A897" s="1"/>
      <c r="B897" s="1"/>
      <c r="C897" s="1"/>
      <c r="D897" s="1"/>
      <c r="E897" s="3"/>
    </row>
    <row r="898">
      <c r="A898" s="1"/>
      <c r="B898" s="1"/>
      <c r="C898" s="1"/>
      <c r="D898" s="1"/>
      <c r="E898" s="3"/>
    </row>
    <row r="899">
      <c r="A899" s="1"/>
      <c r="B899" s="1"/>
      <c r="C899" s="1"/>
      <c r="D899" s="1"/>
      <c r="E899" s="3"/>
    </row>
    <row r="900">
      <c r="A900" s="1"/>
      <c r="B900" s="1"/>
      <c r="C900" s="1"/>
      <c r="D900" s="1"/>
      <c r="E900" s="3"/>
    </row>
    <row r="901">
      <c r="A901" s="1"/>
      <c r="B901" s="1"/>
      <c r="C901" s="1"/>
      <c r="D901" s="1"/>
      <c r="E901" s="3"/>
    </row>
    <row r="902">
      <c r="A902" s="1"/>
      <c r="B902" s="1"/>
      <c r="C902" s="1"/>
      <c r="D902" s="1"/>
      <c r="E902" s="3"/>
    </row>
    <row r="903">
      <c r="A903" s="1"/>
      <c r="B903" s="1"/>
      <c r="C903" s="1"/>
      <c r="D903" s="1"/>
      <c r="E903" s="3"/>
    </row>
    <row r="904">
      <c r="A904" s="1"/>
      <c r="B904" s="1"/>
      <c r="C904" s="1"/>
      <c r="D904" s="1"/>
      <c r="E904" s="3"/>
    </row>
    <row r="905">
      <c r="A905" s="1"/>
      <c r="B905" s="1"/>
      <c r="C905" s="1"/>
      <c r="D905" s="1"/>
      <c r="E905" s="3"/>
    </row>
    <row r="906">
      <c r="A906" s="1"/>
      <c r="B906" s="1"/>
      <c r="C906" s="1"/>
      <c r="D906" s="1"/>
      <c r="E906" s="3"/>
    </row>
    <row r="907">
      <c r="A907" s="1"/>
      <c r="B907" s="1"/>
      <c r="C907" s="1"/>
      <c r="D907" s="1"/>
      <c r="E907" s="3"/>
    </row>
    <row r="908">
      <c r="A908" s="1"/>
      <c r="B908" s="1"/>
      <c r="C908" s="1"/>
      <c r="D908" s="1"/>
      <c r="E908" s="3"/>
    </row>
    <row r="909">
      <c r="A909" s="1"/>
      <c r="B909" s="1"/>
      <c r="C909" s="1"/>
      <c r="D909" s="1"/>
      <c r="E909" s="3"/>
    </row>
    <row r="910">
      <c r="A910" s="1"/>
      <c r="B910" s="1"/>
      <c r="C910" s="1"/>
      <c r="D910" s="1"/>
      <c r="E910" s="3"/>
    </row>
    <row r="911">
      <c r="A911" s="1"/>
      <c r="B911" s="1"/>
      <c r="C911" s="1"/>
      <c r="D911" s="1"/>
      <c r="E911" s="3"/>
    </row>
    <row r="912">
      <c r="A912" s="1"/>
      <c r="B912" s="1"/>
      <c r="C912" s="1"/>
      <c r="D912" s="1"/>
      <c r="E912" s="3"/>
    </row>
    <row r="913">
      <c r="A913" s="1"/>
      <c r="B913" s="1"/>
      <c r="C913" s="1"/>
      <c r="D913" s="1"/>
      <c r="E913" s="3"/>
    </row>
    <row r="914">
      <c r="A914" s="1"/>
      <c r="B914" s="1"/>
      <c r="C914" s="1"/>
      <c r="D914" s="1"/>
      <c r="E914" s="3"/>
    </row>
    <row r="915">
      <c r="A915" s="1"/>
      <c r="B915" s="1"/>
      <c r="C915" s="1"/>
      <c r="D915" s="1"/>
      <c r="E915" s="3"/>
    </row>
    <row r="916">
      <c r="A916" s="1"/>
      <c r="B916" s="1"/>
      <c r="C916" s="1"/>
      <c r="D916" s="1"/>
      <c r="E916" s="3"/>
    </row>
    <row r="917">
      <c r="A917" s="1"/>
      <c r="B917" s="1"/>
      <c r="C917" s="1"/>
      <c r="D917" s="1"/>
      <c r="E917" s="3"/>
    </row>
    <row r="918">
      <c r="A918" s="1"/>
      <c r="B918" s="1"/>
      <c r="C918" s="1"/>
      <c r="D918" s="1"/>
      <c r="E918" s="3"/>
    </row>
    <row r="919">
      <c r="A919" s="1"/>
      <c r="B919" s="1"/>
      <c r="C919" s="1"/>
      <c r="D919" s="1"/>
      <c r="E919" s="3"/>
    </row>
    <row r="920">
      <c r="A920" s="1"/>
      <c r="B920" s="1"/>
      <c r="C920" s="1"/>
      <c r="D920" s="1"/>
      <c r="E920" s="3"/>
    </row>
    <row r="921">
      <c r="A921" s="1"/>
      <c r="B921" s="1"/>
      <c r="C921" s="1"/>
      <c r="D921" s="1"/>
      <c r="E921" s="3"/>
    </row>
    <row r="922">
      <c r="A922" s="1"/>
      <c r="B922" s="1"/>
      <c r="C922" s="1"/>
      <c r="D922" s="1"/>
      <c r="E922" s="3"/>
    </row>
    <row r="923">
      <c r="A923" s="1"/>
      <c r="B923" s="1"/>
      <c r="C923" s="1"/>
      <c r="D923" s="1"/>
      <c r="E923" s="3"/>
    </row>
    <row r="924">
      <c r="A924" s="1"/>
      <c r="B924" s="1"/>
      <c r="C924" s="1"/>
      <c r="D924" s="1"/>
      <c r="E924" s="3"/>
    </row>
    <row r="925">
      <c r="A925" s="1"/>
      <c r="B925" s="1"/>
      <c r="C925" s="1"/>
      <c r="D925" s="1"/>
      <c r="E925" s="3"/>
    </row>
    <row r="926">
      <c r="A926" s="1"/>
      <c r="B926" s="1"/>
      <c r="C926" s="1"/>
      <c r="D926" s="1"/>
      <c r="E926" s="3"/>
    </row>
    <row r="927">
      <c r="A927" s="1"/>
      <c r="B927" s="1"/>
      <c r="C927" s="1"/>
      <c r="D927" s="1"/>
      <c r="E927" s="3"/>
    </row>
    <row r="928">
      <c r="A928" s="1"/>
      <c r="B928" s="1"/>
      <c r="C928" s="1"/>
      <c r="D928" s="1"/>
      <c r="E928" s="3"/>
    </row>
    <row r="929">
      <c r="A929" s="1"/>
      <c r="B929" s="1"/>
      <c r="C929" s="1"/>
      <c r="D929" s="1"/>
      <c r="E929" s="3"/>
    </row>
    <row r="930">
      <c r="A930" s="1"/>
      <c r="B930" s="1"/>
      <c r="C930" s="1"/>
      <c r="D930" s="1"/>
      <c r="E930" s="3"/>
    </row>
    <row r="931">
      <c r="A931" s="1"/>
      <c r="B931" s="1"/>
      <c r="C931" s="1"/>
      <c r="D931" s="1"/>
      <c r="E931" s="3"/>
    </row>
    <row r="932">
      <c r="A932" s="1"/>
      <c r="B932" s="1"/>
      <c r="C932" s="1"/>
      <c r="D932" s="1"/>
      <c r="E932" s="3"/>
    </row>
    <row r="933">
      <c r="A933" s="1"/>
      <c r="B933" s="1"/>
      <c r="C933" s="1"/>
      <c r="D933" s="1"/>
      <c r="E933" s="3"/>
    </row>
    <row r="934">
      <c r="A934" s="1"/>
      <c r="B934" s="1"/>
      <c r="C934" s="1"/>
      <c r="D934" s="1"/>
      <c r="E934" s="3"/>
    </row>
    <row r="935">
      <c r="A935" s="1"/>
      <c r="B935" s="1"/>
      <c r="C935" s="1"/>
      <c r="D935" s="1"/>
      <c r="E935" s="3"/>
    </row>
    <row r="936">
      <c r="A936" s="1"/>
      <c r="B936" s="1"/>
      <c r="C936" s="1"/>
      <c r="D936" s="1"/>
      <c r="E936" s="3"/>
    </row>
    <row r="937">
      <c r="A937" s="1"/>
      <c r="B937" s="1"/>
      <c r="C937" s="1"/>
      <c r="D937" s="1"/>
      <c r="E937" s="3"/>
    </row>
    <row r="938">
      <c r="A938" s="1"/>
      <c r="B938" s="1"/>
      <c r="C938" s="1"/>
      <c r="D938" s="1"/>
      <c r="E938" s="3"/>
    </row>
    <row r="939">
      <c r="A939" s="1"/>
      <c r="B939" s="1"/>
      <c r="C939" s="1"/>
      <c r="D939" s="1"/>
      <c r="E939" s="3"/>
    </row>
    <row r="940">
      <c r="A940" s="1"/>
      <c r="B940" s="1"/>
      <c r="C940" s="1"/>
      <c r="D940" s="1"/>
      <c r="E940" s="3"/>
    </row>
    <row r="941">
      <c r="A941" s="1"/>
      <c r="B941" s="1"/>
      <c r="C941" s="1"/>
      <c r="D941" s="1"/>
      <c r="E941" s="3"/>
    </row>
    <row r="942">
      <c r="A942" s="1"/>
      <c r="B942" s="1"/>
      <c r="C942" s="1"/>
      <c r="D942" s="1"/>
      <c r="E942" s="3"/>
    </row>
    <row r="943">
      <c r="A943" s="1"/>
      <c r="B943" s="1"/>
      <c r="C943" s="1"/>
      <c r="D943" s="1"/>
      <c r="E943" s="3"/>
    </row>
    <row r="944">
      <c r="A944" s="1"/>
      <c r="B944" s="1"/>
      <c r="C944" s="1"/>
      <c r="D944" s="1"/>
      <c r="E944" s="3"/>
    </row>
    <row r="945">
      <c r="A945" s="1"/>
      <c r="B945" s="1"/>
      <c r="C945" s="1"/>
      <c r="D945" s="1"/>
      <c r="E945" s="3"/>
    </row>
    <row r="946">
      <c r="A946" s="1"/>
      <c r="B946" s="1"/>
      <c r="C946" s="1"/>
      <c r="D946" s="1"/>
      <c r="E946" s="3"/>
    </row>
    <row r="947">
      <c r="A947" s="1"/>
      <c r="B947" s="1"/>
      <c r="C947" s="1"/>
      <c r="D947" s="1"/>
      <c r="E947" s="3"/>
    </row>
    <row r="948">
      <c r="A948" s="1"/>
      <c r="B948" s="1"/>
      <c r="C948" s="1"/>
      <c r="D948" s="1"/>
      <c r="E948" s="3"/>
    </row>
    <row r="949">
      <c r="A949" s="1"/>
      <c r="B949" s="1"/>
      <c r="C949" s="1"/>
      <c r="D949" s="1"/>
      <c r="E949" s="3"/>
    </row>
    <row r="950">
      <c r="A950" s="1"/>
      <c r="B950" s="1"/>
      <c r="C950" s="1"/>
      <c r="D950" s="1"/>
      <c r="E950" s="3"/>
    </row>
    <row r="951">
      <c r="A951" s="1"/>
      <c r="B951" s="1"/>
      <c r="C951" s="1"/>
      <c r="D951" s="1"/>
      <c r="E951" s="3"/>
    </row>
    <row r="952">
      <c r="A952" s="1"/>
      <c r="B952" s="1"/>
      <c r="C952" s="1"/>
      <c r="D952" s="1"/>
      <c r="E952" s="3"/>
    </row>
    <row r="953">
      <c r="A953" s="1"/>
      <c r="B953" s="1"/>
      <c r="C953" s="1"/>
      <c r="D953" s="1"/>
      <c r="E953" s="3"/>
    </row>
    <row r="954">
      <c r="A954" s="1"/>
      <c r="B954" s="1"/>
      <c r="C954" s="1"/>
      <c r="D954" s="1"/>
      <c r="E954" s="3"/>
    </row>
    <row r="955">
      <c r="A955" s="1"/>
      <c r="B955" s="1"/>
      <c r="C955" s="1"/>
      <c r="D955" s="1"/>
      <c r="E955" s="3"/>
    </row>
    <row r="956">
      <c r="A956" s="1"/>
      <c r="B956" s="1"/>
      <c r="C956" s="1"/>
      <c r="D956" s="1"/>
      <c r="E956" s="3"/>
    </row>
    <row r="957">
      <c r="A957" s="1"/>
      <c r="B957" s="1"/>
      <c r="C957" s="1"/>
      <c r="D957" s="1"/>
      <c r="E957" s="3"/>
    </row>
    <row r="958">
      <c r="A958" s="1"/>
      <c r="B958" s="1"/>
      <c r="C958" s="1"/>
      <c r="D958" s="1"/>
      <c r="E958" s="3"/>
    </row>
    <row r="959">
      <c r="A959" s="1"/>
      <c r="B959" s="1"/>
      <c r="C959" s="1"/>
      <c r="D959" s="1"/>
      <c r="E959" s="3"/>
    </row>
    <row r="960">
      <c r="A960" s="1"/>
      <c r="B960" s="1"/>
      <c r="C960" s="1"/>
      <c r="D960" s="1"/>
      <c r="E960" s="3"/>
    </row>
    <row r="961">
      <c r="A961" s="1"/>
      <c r="B961" s="1"/>
      <c r="C961" s="1"/>
      <c r="D961" s="1"/>
      <c r="E961" s="3"/>
    </row>
    <row r="962">
      <c r="A962" s="1"/>
      <c r="B962" s="1"/>
      <c r="C962" s="1"/>
      <c r="D962" s="1"/>
      <c r="E962" s="3"/>
    </row>
    <row r="963">
      <c r="A963" s="1"/>
      <c r="B963" s="1"/>
      <c r="C963" s="1"/>
      <c r="D963" s="1"/>
      <c r="E963" s="3"/>
    </row>
    <row r="964">
      <c r="A964" s="1"/>
      <c r="B964" s="1"/>
      <c r="C964" s="1"/>
      <c r="D964" s="1"/>
      <c r="E964" s="3"/>
    </row>
    <row r="965">
      <c r="A965" s="1"/>
      <c r="B965" s="1"/>
      <c r="C965" s="1"/>
      <c r="D965" s="1"/>
      <c r="E965" s="3"/>
    </row>
    <row r="966">
      <c r="A966" s="1"/>
      <c r="B966" s="1"/>
      <c r="C966" s="1"/>
      <c r="D966" s="1"/>
      <c r="E966" s="3"/>
    </row>
    <row r="967">
      <c r="A967" s="1"/>
      <c r="B967" s="1"/>
      <c r="C967" s="1"/>
      <c r="D967" s="1"/>
      <c r="E967" s="3"/>
    </row>
    <row r="968">
      <c r="A968" s="1"/>
      <c r="B968" s="1"/>
      <c r="C968" s="1"/>
      <c r="D968" s="1"/>
      <c r="E968" s="3"/>
    </row>
    <row r="969">
      <c r="A969" s="1"/>
      <c r="B969" s="1"/>
      <c r="C969" s="1"/>
      <c r="D969" s="1"/>
      <c r="E969" s="3"/>
    </row>
    <row r="970">
      <c r="A970" s="1"/>
      <c r="B970" s="1"/>
      <c r="C970" s="1"/>
      <c r="D970" s="1"/>
      <c r="E970" s="3"/>
    </row>
    <row r="971">
      <c r="A971" s="1"/>
      <c r="B971" s="1"/>
      <c r="C971" s="1"/>
      <c r="D971" s="1"/>
      <c r="E971" s="3"/>
    </row>
    <row r="972">
      <c r="A972" s="1"/>
      <c r="B972" s="1"/>
      <c r="C972" s="1"/>
      <c r="D972" s="1"/>
      <c r="E972" s="3"/>
    </row>
    <row r="973">
      <c r="A973" s="1"/>
      <c r="B973" s="1"/>
      <c r="C973" s="1"/>
      <c r="D973" s="1"/>
      <c r="E973" s="3"/>
    </row>
    <row r="974">
      <c r="A974" s="1"/>
      <c r="B974" s="1"/>
      <c r="C974" s="1"/>
      <c r="D974" s="1"/>
      <c r="E974" s="3"/>
    </row>
    <row r="975">
      <c r="A975" s="1"/>
      <c r="B975" s="1"/>
      <c r="C975" s="1"/>
      <c r="D975" s="1"/>
      <c r="E975" s="3"/>
    </row>
    <row r="976">
      <c r="A976" s="1"/>
      <c r="B976" s="1"/>
      <c r="C976" s="1"/>
      <c r="D976" s="1"/>
      <c r="E976" s="3"/>
    </row>
    <row r="977">
      <c r="A977" s="1"/>
      <c r="B977" s="1"/>
      <c r="C977" s="1"/>
      <c r="D977" s="1"/>
      <c r="E977" s="3"/>
    </row>
    <row r="978">
      <c r="A978" s="1"/>
      <c r="B978" s="1"/>
      <c r="C978" s="1"/>
      <c r="D978" s="1"/>
      <c r="E978" s="3"/>
    </row>
    <row r="979">
      <c r="A979" s="1"/>
      <c r="B979" s="1"/>
      <c r="C979" s="1"/>
      <c r="D979" s="1"/>
      <c r="E979" s="3"/>
    </row>
    <row r="980">
      <c r="A980" s="1"/>
      <c r="B980" s="1"/>
      <c r="C980" s="1"/>
      <c r="D980" s="1"/>
      <c r="E980" s="3"/>
    </row>
    <row r="981">
      <c r="A981" s="1"/>
      <c r="B981" s="1"/>
      <c r="C981" s="1"/>
      <c r="D981" s="1"/>
      <c r="E981" s="3"/>
    </row>
    <row r="982">
      <c r="A982" s="1"/>
      <c r="B982" s="1"/>
      <c r="C982" s="1"/>
      <c r="D982" s="1"/>
      <c r="E982" s="3"/>
    </row>
    <row r="983">
      <c r="A983" s="1"/>
      <c r="B983" s="1"/>
      <c r="C983" s="1"/>
      <c r="D983" s="1"/>
      <c r="E983" s="3"/>
    </row>
    <row r="984">
      <c r="A984" s="1"/>
      <c r="B984" s="1"/>
      <c r="C984" s="1"/>
      <c r="D984" s="1"/>
      <c r="E984" s="3"/>
    </row>
    <row r="985">
      <c r="A985" s="1"/>
      <c r="B985" s="1"/>
      <c r="C985" s="1"/>
      <c r="D985" s="1"/>
      <c r="E985" s="3"/>
    </row>
    <row r="986">
      <c r="A986" s="1"/>
      <c r="B986" s="1"/>
      <c r="C986" s="1"/>
      <c r="D986" s="1"/>
      <c r="E986" s="3"/>
    </row>
    <row r="987">
      <c r="A987" s="1"/>
      <c r="B987" s="1"/>
      <c r="C987" s="1"/>
      <c r="D987" s="1"/>
      <c r="E987" s="3"/>
    </row>
    <row r="988">
      <c r="A988" s="1"/>
      <c r="B988" s="1"/>
      <c r="C988" s="1"/>
      <c r="D988" s="1"/>
      <c r="E988" s="3"/>
    </row>
    <row r="989">
      <c r="A989" s="1"/>
      <c r="B989" s="1"/>
      <c r="C989" s="1"/>
      <c r="D989" s="1"/>
      <c r="E989" s="3"/>
    </row>
    <row r="990">
      <c r="A990" s="1"/>
      <c r="B990" s="1"/>
      <c r="C990" s="1"/>
      <c r="D990" s="1"/>
      <c r="E990" s="3"/>
    </row>
    <row r="991">
      <c r="A991" s="1"/>
      <c r="B991" s="1"/>
      <c r="C991" s="1"/>
      <c r="D991" s="1"/>
      <c r="E991" s="3"/>
    </row>
    <row r="992">
      <c r="A992" s="1"/>
      <c r="B992" s="1"/>
      <c r="C992" s="1"/>
      <c r="D992" s="1"/>
      <c r="E992" s="3"/>
    </row>
    <row r="993">
      <c r="A993" s="1"/>
      <c r="B993" s="1"/>
      <c r="C993" s="1"/>
      <c r="D993" s="1"/>
      <c r="E993" s="3"/>
    </row>
    <row r="994">
      <c r="A994" s="1"/>
      <c r="B994" s="1"/>
      <c r="C994" s="1"/>
      <c r="D994" s="1"/>
      <c r="E994" s="3"/>
    </row>
    <row r="995">
      <c r="A995" s="1"/>
      <c r="B995" s="1"/>
      <c r="C995" s="1"/>
      <c r="D995" s="1"/>
      <c r="E995" s="3"/>
    </row>
    <row r="996">
      <c r="A996" s="1"/>
      <c r="B996" s="1"/>
      <c r="C996" s="1"/>
      <c r="D996" s="1"/>
      <c r="E996" s="3"/>
    </row>
    <row r="997">
      <c r="A997" s="1"/>
      <c r="B997" s="1"/>
      <c r="C997" s="1"/>
      <c r="D997" s="1"/>
      <c r="E997" s="3"/>
    </row>
    <row r="998">
      <c r="A998" s="1"/>
      <c r="B998" s="1"/>
      <c r="C998" s="1"/>
      <c r="D998" s="1"/>
      <c r="E998" s="3"/>
    </row>
    <row r="999">
      <c r="A999" s="1"/>
      <c r="B999" s="1"/>
      <c r="C999" s="1"/>
      <c r="D999" s="1"/>
      <c r="E999" s="3"/>
    </row>
    <row r="1000">
      <c r="A1000" s="1"/>
      <c r="B1000" s="1"/>
      <c r="C1000" s="1"/>
      <c r="D1000" s="1"/>
      <c r="E1000" s="3"/>
    </row>
  </sheetData>
  <hyperlinks>
    <hyperlink r:id="rId1" ref="C52"/>
    <hyperlink r:id="rId2" ref="C104"/>
    <hyperlink r:id="rId3" ref="A173"/>
    <hyperlink r:id="rId4" ref="C238"/>
    <hyperlink r:id="rId5" ref="A343"/>
  </hyperlinks>
  <drawing r:id="rId6"/>
</worksheet>
</file>